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1640" activeTab="0"/>
  </bookViews>
  <sheets>
    <sheet name="NPB IR 95 Trling 4 qrtrs Cdn" sheetId="1" r:id="rId1"/>
  </sheets>
  <definedNames>
    <definedName name="_xlnm.Print_Area" localSheetId="0">'NPB IR 95 Trling 4 qrtrs Cdn'!$A$1:$T$51</definedName>
  </definedNames>
  <calcPr fullCalcOnLoad="1"/>
</workbook>
</file>

<file path=xl/sharedStrings.xml><?xml version="1.0" encoding="utf-8"?>
<sst xmlns="http://schemas.openxmlformats.org/spreadsheetml/2006/main" count="78" uniqueCount="30">
  <si>
    <t>3q</t>
  </si>
  <si>
    <t xml:space="preserve"> </t>
  </si>
  <si>
    <t>Common Equity</t>
  </si>
  <si>
    <t>Short Debt</t>
  </si>
  <si>
    <t>Long Debt</t>
  </si>
  <si>
    <t>Pref</t>
  </si>
  <si>
    <t>Dollar Amounts</t>
  </si>
  <si>
    <t>Sum of Cap Structures with Short debt</t>
  </si>
  <si>
    <t>Sum of Cap Structures with NO Short debt</t>
  </si>
  <si>
    <t>4q</t>
  </si>
  <si>
    <t>2q</t>
  </si>
  <si>
    <t>Cap Structures including Shrt Debt</t>
  </si>
  <si>
    <t>1q</t>
  </si>
  <si>
    <t>Cap Structures NO Shrt Debt</t>
  </si>
  <si>
    <t>4 Quarter Avg with Shrt Debt</t>
  </si>
  <si>
    <t>Average</t>
  </si>
  <si>
    <t xml:space="preserve">  Enbridge Gas Distribution</t>
  </si>
  <si>
    <t xml:space="preserve">  Gaz Metropolitain LP</t>
  </si>
  <si>
    <t xml:space="preserve">  Pacific Northern Gas</t>
  </si>
  <si>
    <t xml:space="preserve"> Terasen Gas</t>
  </si>
  <si>
    <t>Union</t>
  </si>
  <si>
    <t xml:space="preserve">  Enbridge Gas Distribution 1/</t>
  </si>
  <si>
    <t>1/ excludes loans from affiliate (IPL)</t>
  </si>
  <si>
    <t xml:space="preserve">  Union Gas 2/</t>
  </si>
  <si>
    <t>2/ includes non-controlling interest in equity</t>
  </si>
  <si>
    <t xml:space="preserve">  Pacific Northern Gas 2/</t>
  </si>
  <si>
    <t xml:space="preserve">  Gaz Metropolitain LP 3/</t>
  </si>
  <si>
    <t>3/  2010 3Q results from Valener</t>
  </si>
  <si>
    <t>STD does not incl. current LTD</t>
  </si>
  <si>
    <t>Calendar quarters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</si>
</sst>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"/>
    <numFmt numFmtId="167" formatCode="0.000"/>
    <numFmt numFmtId="168" formatCode="0.0000"/>
    <numFmt numFmtId="169" formatCode="0.00000"/>
    <numFmt numFmtId="170" formatCode="0.000000"/>
    <numFmt numFmtId="171" formatCode="0.000%"/>
    <numFmt numFmtId="172" formatCode="0.0000%"/>
    <numFmt numFmtId="173" formatCode="[$-409]dddd\,\ mmmm\ dd\,\ yyyy"/>
    <numFmt numFmtId="174" formatCode="[$-409]h:mm:ss\ AM/PM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1" fontId="4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5" fontId="4" fillId="0" borderId="0" xfId="42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172" fontId="4" fillId="0" borderId="0" xfId="59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tabSelected="1" zoomScalePageLayoutView="0" workbookViewId="0" topLeftCell="A1">
      <pane xSplit="1" ySplit="5" topLeftCell="J2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52" sqref="L52"/>
    </sheetView>
  </sheetViews>
  <sheetFormatPr defaultColWidth="9.140625" defaultRowHeight="12.75"/>
  <cols>
    <col min="1" max="1" width="31.28125" style="4" customWidth="1"/>
    <col min="2" max="2" width="9.7109375" style="4" bestFit="1" customWidth="1"/>
    <col min="3" max="3" width="9.28125" style="4" bestFit="1" customWidth="1"/>
    <col min="4" max="4" width="9.57421875" style="4" bestFit="1" customWidth="1"/>
    <col min="5" max="5" width="9.28125" style="4" bestFit="1" customWidth="1"/>
    <col min="6" max="6" width="9.140625" style="4" customWidth="1"/>
    <col min="7" max="7" width="11.421875" style="4" customWidth="1"/>
    <col min="8" max="8" width="9.28125" style="4" bestFit="1" customWidth="1"/>
    <col min="9" max="9" width="9.57421875" style="4" bestFit="1" customWidth="1"/>
    <col min="10" max="10" width="10.8515625" style="4" customWidth="1"/>
    <col min="11" max="11" width="9.140625" style="4" customWidth="1"/>
    <col min="12" max="12" width="9.57421875" style="4" bestFit="1" customWidth="1"/>
    <col min="13" max="13" width="9.28125" style="4" bestFit="1" customWidth="1"/>
    <col min="14" max="14" width="9.57421875" style="4" bestFit="1" customWidth="1"/>
    <col min="15" max="15" width="9.28125" style="4" bestFit="1" customWidth="1"/>
    <col min="16" max="16" width="9.140625" style="4" customWidth="1"/>
    <col min="17" max="17" width="9.57421875" style="4" bestFit="1" customWidth="1"/>
    <col min="18" max="18" width="9.28125" style="4" bestFit="1" customWidth="1"/>
    <col min="19" max="19" width="9.57421875" style="4" bestFit="1" customWidth="1"/>
    <col min="20" max="20" width="9.28125" style="4" bestFit="1" customWidth="1"/>
    <col min="21" max="16384" width="9.140625" style="4" customWidth="1"/>
  </cols>
  <sheetData>
    <row r="1" spans="1:24" ht="15">
      <c r="A1" s="3" t="s">
        <v>29</v>
      </c>
      <c r="B1" s="3"/>
      <c r="C1" s="3" t="s">
        <v>28</v>
      </c>
      <c r="D1" s="3"/>
      <c r="E1" s="3"/>
      <c r="F1" s="3"/>
      <c r="U1" s="5"/>
      <c r="V1" s="5"/>
      <c r="W1" s="5"/>
      <c r="X1" s="5"/>
    </row>
    <row r="2" spans="2:34" ht="15">
      <c r="B2" s="6">
        <v>2010</v>
      </c>
      <c r="C2" s="6"/>
      <c r="D2" s="6"/>
      <c r="E2" s="6"/>
      <c r="G2" s="6">
        <v>2010</v>
      </c>
      <c r="H2" s="6"/>
      <c r="I2" s="6"/>
      <c r="J2" s="6"/>
      <c r="L2" s="6">
        <v>2010</v>
      </c>
      <c r="M2" s="6"/>
      <c r="N2" s="6"/>
      <c r="O2" s="6"/>
      <c r="Q2" s="6">
        <v>2009</v>
      </c>
      <c r="R2" s="6"/>
      <c r="S2" s="6"/>
      <c r="T2" s="6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2:34" ht="15">
      <c r="B3" s="6" t="s">
        <v>0</v>
      </c>
      <c r="C3" s="6"/>
      <c r="D3" s="6"/>
      <c r="E3" s="6"/>
      <c r="G3" s="6" t="s">
        <v>10</v>
      </c>
      <c r="H3" s="6"/>
      <c r="I3" s="6"/>
      <c r="J3" s="6"/>
      <c r="L3" s="6" t="s">
        <v>12</v>
      </c>
      <c r="M3" s="6"/>
      <c r="N3" s="6"/>
      <c r="O3" s="6"/>
      <c r="Q3" s="6" t="s">
        <v>9</v>
      </c>
      <c r="R3" s="6"/>
      <c r="S3" s="6"/>
      <c r="T3" s="6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20" s="7" customFormat="1" ht="30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G4" s="8" t="s">
        <v>2</v>
      </c>
      <c r="H4" s="8" t="s">
        <v>3</v>
      </c>
      <c r="I4" s="8" t="s">
        <v>4</v>
      </c>
      <c r="J4" s="8" t="s">
        <v>5</v>
      </c>
      <c r="L4" s="8" t="s">
        <v>2</v>
      </c>
      <c r="M4" s="8" t="s">
        <v>3</v>
      </c>
      <c r="N4" s="8" t="s">
        <v>4</v>
      </c>
      <c r="O4" s="8" t="s">
        <v>5</v>
      </c>
      <c r="Q4" s="8" t="s">
        <v>2</v>
      </c>
      <c r="R4" s="8" t="s">
        <v>3</v>
      </c>
      <c r="S4" s="8" t="s">
        <v>4</v>
      </c>
      <c r="T4" s="8" t="s">
        <v>5</v>
      </c>
    </row>
    <row r="5" spans="1:34" ht="15">
      <c r="A5" s="3" t="s">
        <v>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15.75" customHeight="1">
      <c r="A6" s="1" t="s">
        <v>21</v>
      </c>
      <c r="B6" s="9">
        <f>1909-100</f>
        <v>1809</v>
      </c>
      <c r="C6" s="9">
        <f>438+7</f>
        <v>445</v>
      </c>
      <c r="D6" s="9">
        <f>1870+300</f>
        <v>2170</v>
      </c>
      <c r="E6" s="9">
        <v>100</v>
      </c>
      <c r="F6" s="9"/>
      <c r="G6" s="9">
        <f>1963-100</f>
        <v>1863</v>
      </c>
      <c r="H6" s="9">
        <v>157</v>
      </c>
      <c r="I6" s="9">
        <f>1867+300</f>
        <v>2167</v>
      </c>
      <c r="J6" s="9">
        <v>100</v>
      </c>
      <c r="K6" s="9"/>
      <c r="L6" s="9">
        <f>1995.7-100</f>
        <v>1895.7</v>
      </c>
      <c r="M6" s="9">
        <f>248.5+11.5</f>
        <v>260</v>
      </c>
      <c r="N6" s="9">
        <f>2015.9+150</f>
        <v>2165.9</v>
      </c>
      <c r="O6" s="9">
        <v>100</v>
      </c>
      <c r="P6" s="9"/>
      <c r="Q6" s="9">
        <f>1967.3-100</f>
        <v>1867.3</v>
      </c>
      <c r="R6" s="9">
        <f>514.5+12.8</f>
        <v>527.3</v>
      </c>
      <c r="S6" s="9">
        <f>2015.4+150</f>
        <v>2165.4</v>
      </c>
      <c r="T6" s="9">
        <v>100</v>
      </c>
      <c r="U6" s="10"/>
      <c r="V6" s="10"/>
      <c r="W6" s="10"/>
      <c r="X6" s="10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15.75" customHeight="1">
      <c r="A7" s="1" t="s">
        <v>26</v>
      </c>
      <c r="B7" s="9">
        <v>932627</v>
      </c>
      <c r="C7" s="9">
        <f>41023+8180</f>
        <v>49203</v>
      </c>
      <c r="D7" s="9">
        <f>1749506+68057</f>
        <v>1817563</v>
      </c>
      <c r="E7" s="9">
        <v>0</v>
      </c>
      <c r="F7" s="9"/>
      <c r="G7" s="9">
        <v>1026204</v>
      </c>
      <c r="H7" s="9">
        <f>38728+7899</f>
        <v>46627</v>
      </c>
      <c r="I7" s="9">
        <f>1539521+124690</f>
        <v>1664211</v>
      </c>
      <c r="J7" s="9">
        <v>0</v>
      </c>
      <c r="K7" s="11"/>
      <c r="L7" s="9">
        <v>1045583</v>
      </c>
      <c r="M7" s="9">
        <f>23941+3191</f>
        <v>27132</v>
      </c>
      <c r="N7" s="9">
        <f>1528467+126533</f>
        <v>1655000</v>
      </c>
      <c r="O7" s="9">
        <v>0</v>
      </c>
      <c r="P7" s="11"/>
      <c r="Q7" s="9">
        <v>986464</v>
      </c>
      <c r="R7" s="9">
        <f>35977+14622</f>
        <v>50599</v>
      </c>
      <c r="S7" s="9">
        <f>1629734+118602</f>
        <v>1748336</v>
      </c>
      <c r="T7" s="9">
        <v>0</v>
      </c>
      <c r="U7" s="10"/>
      <c r="V7" s="10"/>
      <c r="W7" s="10"/>
      <c r="X7" s="10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15.75" customHeight="1">
      <c r="A8" s="1" t="s">
        <v>25</v>
      </c>
      <c r="B8" s="9">
        <f>91422-5000</f>
        <v>86422</v>
      </c>
      <c r="C8" s="9">
        <v>4223</v>
      </c>
      <c r="D8" s="9">
        <f>89242+3985</f>
        <v>93227</v>
      </c>
      <c r="E8" s="9">
        <v>5000</v>
      </c>
      <c r="F8" s="9"/>
      <c r="G8" s="9">
        <f>94529-5000</f>
        <v>89529</v>
      </c>
      <c r="H8" s="9">
        <v>0</v>
      </c>
      <c r="I8" s="9">
        <f>86121+3778</f>
        <v>89899</v>
      </c>
      <c r="J8" s="9">
        <v>5000</v>
      </c>
      <c r="K8" s="11"/>
      <c r="L8" s="9">
        <f>95397-5000</f>
        <v>90397</v>
      </c>
      <c r="M8" s="9">
        <v>2461</v>
      </c>
      <c r="N8" s="9">
        <f>71727+2800</f>
        <v>74527</v>
      </c>
      <c r="O8" s="9">
        <v>5000</v>
      </c>
      <c r="P8" s="11"/>
      <c r="Q8" s="9">
        <f>90436-5000</f>
        <v>85436</v>
      </c>
      <c r="R8" s="9">
        <v>2579</v>
      </c>
      <c r="S8" s="9">
        <f>71779+2800</f>
        <v>74579</v>
      </c>
      <c r="T8" s="9">
        <v>5000</v>
      </c>
      <c r="U8" s="10"/>
      <c r="V8" s="10"/>
      <c r="W8" s="10"/>
      <c r="X8" s="10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15.75" customHeight="1">
      <c r="A9" s="1" t="s">
        <v>19</v>
      </c>
      <c r="B9" s="9">
        <v>1010.4</v>
      </c>
      <c r="C9" s="9">
        <v>135</v>
      </c>
      <c r="D9" s="9">
        <f>1441.5+2.4</f>
        <v>1443.9</v>
      </c>
      <c r="E9" s="9">
        <v>0</v>
      </c>
      <c r="F9" s="9"/>
      <c r="G9" s="9">
        <v>1027.2</v>
      </c>
      <c r="H9" s="9">
        <v>43</v>
      </c>
      <c r="I9" s="9">
        <f>1441.3+2.4</f>
        <v>1443.7</v>
      </c>
      <c r="J9" s="9">
        <v>0</v>
      </c>
      <c r="K9" s="11"/>
      <c r="L9" s="9">
        <v>1051.4</v>
      </c>
      <c r="M9" s="9">
        <v>40</v>
      </c>
      <c r="N9" s="9">
        <f>1440.9+2.4</f>
        <v>1443.3000000000002</v>
      </c>
      <c r="O9" s="9">
        <v>0</v>
      </c>
      <c r="P9" s="11"/>
      <c r="Q9" s="9">
        <v>880.6</v>
      </c>
      <c r="R9" s="9">
        <v>204</v>
      </c>
      <c r="S9" s="9">
        <f>1440.3+2.2</f>
        <v>1442.5</v>
      </c>
      <c r="T9" s="9">
        <v>0</v>
      </c>
      <c r="U9" s="10"/>
      <c r="V9" s="10"/>
      <c r="W9" s="10"/>
      <c r="X9" s="10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15.75" customHeight="1">
      <c r="A10" s="1" t="s">
        <v>23</v>
      </c>
      <c r="B10" s="9">
        <f>1505+10</f>
        <v>1515</v>
      </c>
      <c r="C10" s="9">
        <f>114+4</f>
        <v>118</v>
      </c>
      <c r="D10" s="9">
        <f>1978+287+5</f>
        <v>2270</v>
      </c>
      <c r="E10" s="9">
        <v>100</v>
      </c>
      <c r="F10" s="9"/>
      <c r="G10" s="9">
        <f>1508+10</f>
        <v>1518</v>
      </c>
      <c r="H10" s="9">
        <v>232</v>
      </c>
      <c r="I10" s="9">
        <f>1730+287+5</f>
        <v>2022</v>
      </c>
      <c r="J10" s="9">
        <v>100</v>
      </c>
      <c r="K10" s="11"/>
      <c r="L10" s="9">
        <f>1496+10</f>
        <v>1506</v>
      </c>
      <c r="M10" s="9">
        <v>36</v>
      </c>
      <c r="N10" s="9">
        <f>222+1980+5</f>
        <v>2207</v>
      </c>
      <c r="O10" s="9">
        <v>100</v>
      </c>
      <c r="P10" s="11"/>
      <c r="Q10" s="9">
        <f>1328+10</f>
        <v>1338</v>
      </c>
      <c r="R10" s="9">
        <v>39</v>
      </c>
      <c r="S10" s="9">
        <f>222+1979+5</f>
        <v>2206</v>
      </c>
      <c r="T10" s="9">
        <v>100</v>
      </c>
      <c r="U10" s="12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15.75" customHeight="1">
      <c r="A11" s="1"/>
      <c r="G11" s="5"/>
      <c r="H11" s="5"/>
      <c r="I11" s="5"/>
      <c r="J11" s="5"/>
      <c r="K11" s="12"/>
      <c r="L11" s="5"/>
      <c r="M11" s="5"/>
      <c r="N11" s="5"/>
      <c r="O11" s="5"/>
      <c r="P11" s="12"/>
      <c r="U11" s="12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15.75" customHeight="1">
      <c r="A12" s="2" t="s">
        <v>22</v>
      </c>
      <c r="G12" s="5"/>
      <c r="H12" s="5"/>
      <c r="I12" s="5"/>
      <c r="J12" s="5"/>
      <c r="K12" s="12"/>
      <c r="L12" s="5"/>
      <c r="M12" s="5"/>
      <c r="N12" s="5"/>
      <c r="O12" s="5"/>
      <c r="P12" s="12"/>
      <c r="U12" s="12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24" ht="15.75" customHeight="1">
      <c r="A13" s="2" t="s">
        <v>24</v>
      </c>
      <c r="V13" s="5"/>
      <c r="W13" s="5"/>
      <c r="X13" s="5"/>
    </row>
    <row r="14" spans="1:24" ht="15.75" customHeight="1">
      <c r="A14" s="2" t="s">
        <v>27</v>
      </c>
      <c r="V14" s="5"/>
      <c r="W14" s="5"/>
      <c r="X14" s="5"/>
    </row>
    <row r="15" spans="1:24" ht="15.75" customHeight="1">
      <c r="A15" s="2"/>
      <c r="V15" s="5"/>
      <c r="W15" s="5"/>
      <c r="X15" s="5"/>
    </row>
    <row r="16" spans="2:21" ht="15.75" customHeight="1">
      <c r="B16" s="22" t="s">
        <v>7</v>
      </c>
      <c r="C16" s="22"/>
      <c r="D16" s="22"/>
      <c r="E16" s="22"/>
      <c r="G16" s="22" t="s">
        <v>8</v>
      </c>
      <c r="H16" s="22"/>
      <c r="I16" s="22"/>
      <c r="J16" s="22"/>
      <c r="L16" s="13"/>
      <c r="M16" s="13"/>
      <c r="N16" s="13"/>
      <c r="O16" s="13"/>
      <c r="P16" s="14"/>
      <c r="Q16" s="13"/>
      <c r="R16" s="13"/>
      <c r="S16" s="13"/>
      <c r="T16" s="13"/>
      <c r="U16" s="5"/>
    </row>
    <row r="17" spans="2:21" ht="15.75" customHeight="1">
      <c r="B17" s="23" t="s">
        <v>1</v>
      </c>
      <c r="C17" s="23"/>
      <c r="D17" s="23"/>
      <c r="E17" s="23"/>
      <c r="G17" s="23" t="s">
        <v>1</v>
      </c>
      <c r="H17" s="23"/>
      <c r="I17" s="23"/>
      <c r="J17" s="23"/>
      <c r="L17" s="13"/>
      <c r="M17" s="13"/>
      <c r="N17" s="13"/>
      <c r="O17" s="13"/>
      <c r="P17" s="14"/>
      <c r="Q17" s="13"/>
      <c r="R17" s="13"/>
      <c r="S17" s="13"/>
      <c r="T17" s="13"/>
      <c r="U17" s="5"/>
    </row>
    <row r="18" spans="2:21" ht="15.75" customHeight="1">
      <c r="B18" s="6" t="s">
        <v>9</v>
      </c>
      <c r="C18" s="6" t="s">
        <v>0</v>
      </c>
      <c r="D18" s="6" t="s">
        <v>10</v>
      </c>
      <c r="E18" s="6" t="s">
        <v>12</v>
      </c>
      <c r="F18" s="6"/>
      <c r="G18" s="6" t="s">
        <v>9</v>
      </c>
      <c r="H18" s="6" t="s">
        <v>0</v>
      </c>
      <c r="I18" s="6" t="s">
        <v>10</v>
      </c>
      <c r="J18" s="6" t="s">
        <v>12</v>
      </c>
      <c r="K18" s="6"/>
      <c r="L18" s="14"/>
      <c r="M18" s="15"/>
      <c r="N18" s="15"/>
      <c r="O18" s="15"/>
      <c r="P18" s="15"/>
      <c r="Q18" s="14"/>
      <c r="R18" s="15"/>
      <c r="S18" s="15"/>
      <c r="T18" s="15"/>
      <c r="U18" s="6"/>
    </row>
    <row r="19" spans="3:11" ht="15.75" customHeight="1">
      <c r="C19" s="5"/>
      <c r="D19" s="5"/>
      <c r="E19" s="5"/>
      <c r="F19" s="5"/>
      <c r="G19" s="5"/>
      <c r="H19" s="5"/>
      <c r="I19" s="5"/>
      <c r="J19" s="5"/>
      <c r="K19" s="5"/>
    </row>
    <row r="20" spans="3:11" ht="15.75" customHeight="1">
      <c r="C20" s="5"/>
      <c r="D20" s="5"/>
      <c r="E20" s="5"/>
      <c r="F20" s="5"/>
      <c r="G20" s="5"/>
      <c r="H20" s="5"/>
      <c r="I20" s="5"/>
      <c r="J20" s="5"/>
      <c r="K20" s="5"/>
    </row>
    <row r="21" spans="1:21" ht="15.75" customHeight="1">
      <c r="A21" s="1" t="s">
        <v>16</v>
      </c>
      <c r="B21" s="9">
        <f>SUM(B6:E6)</f>
        <v>4524</v>
      </c>
      <c r="C21" s="9">
        <f>SUM(G6:J6)</f>
        <v>4287</v>
      </c>
      <c r="D21" s="9">
        <f>SUM(L6:O6)</f>
        <v>4421.6</v>
      </c>
      <c r="E21" s="9">
        <f>SUM(Q6:T6)</f>
        <v>4660</v>
      </c>
      <c r="F21" s="9"/>
      <c r="G21" s="9">
        <f>SUM(B6,D6:E6)</f>
        <v>4079</v>
      </c>
      <c r="H21" s="9">
        <f>SUM(G6,I6:J6)</f>
        <v>4130</v>
      </c>
      <c r="I21" s="9">
        <f>SUM(L6,N6:O6)</f>
        <v>4161.6</v>
      </c>
      <c r="J21" s="9">
        <f>SUM(Q6,S6:T6)</f>
        <v>4132.7</v>
      </c>
      <c r="K21" s="5"/>
      <c r="P21" s="16"/>
      <c r="U21" s="16"/>
    </row>
    <row r="22" spans="1:21" ht="15.75" customHeight="1">
      <c r="A22" s="1" t="s">
        <v>17</v>
      </c>
      <c r="B22" s="9">
        <f>SUM(B7:E7)</f>
        <v>2799393</v>
      </c>
      <c r="C22" s="9">
        <f>SUM(G7:J7)</f>
        <v>2737042</v>
      </c>
      <c r="D22" s="9">
        <f>SUM(L7:O7)</f>
        <v>2727715</v>
      </c>
      <c r="E22" s="9">
        <f>SUM(Q7:T7)</f>
        <v>2785399</v>
      </c>
      <c r="F22" s="9"/>
      <c r="G22" s="9">
        <f>SUM(B7,D7:E7)</f>
        <v>2750190</v>
      </c>
      <c r="H22" s="9">
        <f>SUM(G7,I7:J7)</f>
        <v>2690415</v>
      </c>
      <c r="I22" s="9">
        <f>SUM(L7,N7:O7)</f>
        <v>2700583</v>
      </c>
      <c r="J22" s="9">
        <f>SUM(Q7,S7:T7)</f>
        <v>2734800</v>
      </c>
      <c r="K22" s="5"/>
      <c r="P22" s="16"/>
      <c r="U22" s="16"/>
    </row>
    <row r="23" spans="1:21" ht="15.75" customHeight="1">
      <c r="A23" s="1" t="s">
        <v>18</v>
      </c>
      <c r="B23" s="9">
        <f>SUM(B8:E8)</f>
        <v>188872</v>
      </c>
      <c r="C23" s="9">
        <f>SUM(G8:J8)</f>
        <v>184428</v>
      </c>
      <c r="D23" s="9">
        <f>SUM(L8:O8)</f>
        <v>172385</v>
      </c>
      <c r="E23" s="9">
        <f>SUM(Q8:T8)</f>
        <v>167594</v>
      </c>
      <c r="F23" s="9"/>
      <c r="G23" s="9">
        <f>SUM(B8,D8:E8)</f>
        <v>184649</v>
      </c>
      <c r="H23" s="9">
        <f>SUM(G8,I8:J8)</f>
        <v>184428</v>
      </c>
      <c r="I23" s="9">
        <f>SUM(L8,N8:O8)</f>
        <v>169924</v>
      </c>
      <c r="J23" s="9">
        <f>SUM(Q8,S8:T8)</f>
        <v>165015</v>
      </c>
      <c r="K23" s="5"/>
      <c r="P23" s="16"/>
      <c r="U23" s="16"/>
    </row>
    <row r="24" spans="1:21" ht="15.75" customHeight="1">
      <c r="A24" s="1" t="s">
        <v>19</v>
      </c>
      <c r="B24" s="9">
        <f>SUM(B9:E9)</f>
        <v>2589.3</v>
      </c>
      <c r="C24" s="9">
        <f>SUM(G9:J9)</f>
        <v>2513.9</v>
      </c>
      <c r="D24" s="9">
        <f>SUM(L9:O9)</f>
        <v>2534.7000000000003</v>
      </c>
      <c r="E24" s="9">
        <f>SUM(Q9:T9)</f>
        <v>2527.1</v>
      </c>
      <c r="F24" s="9"/>
      <c r="G24" s="9">
        <f>SUM(B9,D9:E9)</f>
        <v>2454.3</v>
      </c>
      <c r="H24" s="9">
        <f>SUM(G9,I9:J9)</f>
        <v>2470.9</v>
      </c>
      <c r="I24" s="9">
        <f>SUM(L9,N9:O9)</f>
        <v>2494.7000000000003</v>
      </c>
      <c r="J24" s="9">
        <f>SUM(Q9,S9:T9)</f>
        <v>2323.1</v>
      </c>
      <c r="K24" s="5"/>
      <c r="P24" s="16"/>
      <c r="U24" s="16"/>
    </row>
    <row r="25" spans="1:21" ht="15.75" customHeight="1">
      <c r="A25" s="1" t="s">
        <v>20</v>
      </c>
      <c r="B25" s="9">
        <f>SUM(B10:E10)</f>
        <v>4003</v>
      </c>
      <c r="C25" s="9">
        <f>SUM(G10:J10)</f>
        <v>3872</v>
      </c>
      <c r="D25" s="9">
        <f>SUM(L10:O10)</f>
        <v>3849</v>
      </c>
      <c r="E25" s="9">
        <f>SUM(Q10:T10)</f>
        <v>3683</v>
      </c>
      <c r="F25" s="9"/>
      <c r="G25" s="9">
        <f>SUM(B10,D10:E10)</f>
        <v>3885</v>
      </c>
      <c r="H25" s="9">
        <f>SUM(G10,I10:J10)</f>
        <v>3640</v>
      </c>
      <c r="I25" s="9">
        <f>SUM(L10,N10:O10)</f>
        <v>3813</v>
      </c>
      <c r="J25" s="9">
        <f>SUM(Q10,S10:T10)</f>
        <v>3644</v>
      </c>
      <c r="K25" s="5"/>
      <c r="P25" s="16"/>
      <c r="U25" s="16"/>
    </row>
    <row r="26" spans="16:18" ht="15.75" customHeight="1">
      <c r="P26" s="5"/>
      <c r="Q26" s="5"/>
      <c r="R26" s="5"/>
    </row>
    <row r="27" spans="1:21" ht="15.75" customHeight="1">
      <c r="A27" s="3" t="s">
        <v>11</v>
      </c>
      <c r="B27" s="3" t="s">
        <v>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Q27" s="3"/>
      <c r="R27" s="3"/>
      <c r="S27" s="3"/>
      <c r="T27" s="3"/>
      <c r="U27" s="5"/>
    </row>
    <row r="28" spans="1:21" ht="15.75" customHeight="1">
      <c r="A28" s="1" t="s">
        <v>16</v>
      </c>
      <c r="B28" s="17">
        <f aca="true" t="shared" si="0" ref="B28:E32">(B6/$B21)*100</f>
        <v>39.9867374005305</v>
      </c>
      <c r="C28" s="17">
        <f t="shared" si="0"/>
        <v>9.836427939876216</v>
      </c>
      <c r="D28" s="17">
        <f t="shared" si="0"/>
        <v>47.96640141467728</v>
      </c>
      <c r="E28" s="17">
        <f t="shared" si="0"/>
        <v>2.2104332449160036</v>
      </c>
      <c r="G28" s="17">
        <f aca="true" t="shared" si="1" ref="G28:J32">(G6/$C21)*100</f>
        <v>43.45696291112666</v>
      </c>
      <c r="H28" s="17">
        <f t="shared" si="1"/>
        <v>3.662234662934453</v>
      </c>
      <c r="I28" s="17">
        <f t="shared" si="1"/>
        <v>50.548168882668534</v>
      </c>
      <c r="J28" s="17">
        <f t="shared" si="1"/>
        <v>2.332633543270352</v>
      </c>
      <c r="L28" s="17">
        <f aca="true" t="shared" si="2" ref="L28:O32">(L6/$D21)*100</f>
        <v>42.87362040890175</v>
      </c>
      <c r="M28" s="17">
        <f t="shared" si="2"/>
        <v>5.880224353175321</v>
      </c>
      <c r="N28" s="17">
        <f t="shared" si="2"/>
        <v>48.984530486701644</v>
      </c>
      <c r="O28" s="17">
        <f t="shared" si="2"/>
        <v>2.261624751221277</v>
      </c>
      <c r="Q28" s="17">
        <f aca="true" t="shared" si="3" ref="Q28:T32">(Q6/$E21)*100</f>
        <v>40.07081545064378</v>
      </c>
      <c r="R28" s="17">
        <f t="shared" si="3"/>
        <v>11.315450643776822</v>
      </c>
      <c r="S28" s="17">
        <f t="shared" si="3"/>
        <v>46.467811158798284</v>
      </c>
      <c r="T28" s="17">
        <f t="shared" si="3"/>
        <v>2.1459227467811157</v>
      </c>
      <c r="U28" s="5"/>
    </row>
    <row r="29" spans="1:21" ht="15.75" customHeight="1">
      <c r="A29" s="1" t="s">
        <v>17</v>
      </c>
      <c r="B29" s="17">
        <f t="shared" si="0"/>
        <v>33.31532943034436</v>
      </c>
      <c r="C29" s="17">
        <f t="shared" si="0"/>
        <v>1.7576310292981372</v>
      </c>
      <c r="D29" s="17">
        <f t="shared" si="0"/>
        <v>64.9270395403575</v>
      </c>
      <c r="E29" s="17">
        <f t="shared" si="0"/>
        <v>0</v>
      </c>
      <c r="G29" s="17">
        <f t="shared" si="1"/>
        <v>37.49317694065345</v>
      </c>
      <c r="H29" s="17">
        <f t="shared" si="1"/>
        <v>1.7035544211597777</v>
      </c>
      <c r="I29" s="17">
        <f t="shared" si="1"/>
        <v>60.80326863818677</v>
      </c>
      <c r="J29" s="17">
        <f t="shared" si="1"/>
        <v>0</v>
      </c>
      <c r="L29" s="17">
        <f t="shared" si="2"/>
        <v>38.331827188690895</v>
      </c>
      <c r="M29" s="17">
        <f t="shared" si="2"/>
        <v>0.9946786962714214</v>
      </c>
      <c r="N29" s="17">
        <f t="shared" si="2"/>
        <v>60.67349411503768</v>
      </c>
      <c r="O29" s="17">
        <f t="shared" si="2"/>
        <v>0</v>
      </c>
      <c r="Q29" s="17">
        <f t="shared" si="3"/>
        <v>35.41553651738943</v>
      </c>
      <c r="R29" s="17">
        <f t="shared" si="3"/>
        <v>1.8165799585624895</v>
      </c>
      <c r="S29" s="17">
        <f t="shared" si="3"/>
        <v>62.76788352404809</v>
      </c>
      <c r="T29" s="17">
        <f t="shared" si="3"/>
        <v>0</v>
      </c>
      <c r="U29" s="5"/>
    </row>
    <row r="30" spans="1:21" ht="15.75" customHeight="1">
      <c r="A30" s="1" t="s">
        <v>18</v>
      </c>
      <c r="B30" s="17">
        <f t="shared" si="0"/>
        <v>45.756914735905795</v>
      </c>
      <c r="C30" s="17">
        <f t="shared" si="0"/>
        <v>2.2359057986361135</v>
      </c>
      <c r="D30" s="17">
        <f t="shared" si="0"/>
        <v>49.359883942564274</v>
      </c>
      <c r="E30" s="17">
        <f t="shared" si="0"/>
        <v>2.647295522893812</v>
      </c>
      <c r="G30" s="17">
        <f t="shared" si="1"/>
        <v>48.54414730951916</v>
      </c>
      <c r="H30" s="17">
        <f t="shared" si="1"/>
        <v>0</v>
      </c>
      <c r="I30" s="17">
        <f t="shared" si="1"/>
        <v>48.744767605786535</v>
      </c>
      <c r="J30" s="17">
        <f t="shared" si="1"/>
        <v>2.711085084694298</v>
      </c>
      <c r="L30" s="17">
        <f t="shared" si="2"/>
        <v>52.43901731589175</v>
      </c>
      <c r="M30" s="17">
        <f t="shared" si="2"/>
        <v>1.4276184122748499</v>
      </c>
      <c r="N30" s="17">
        <f t="shared" si="2"/>
        <v>43.23287989094179</v>
      </c>
      <c r="O30" s="17">
        <f t="shared" si="2"/>
        <v>2.900484380891609</v>
      </c>
      <c r="Q30" s="17">
        <f t="shared" si="3"/>
        <v>50.9779586381374</v>
      </c>
      <c r="R30" s="17">
        <f t="shared" si="3"/>
        <v>1.538837905891619</v>
      </c>
      <c r="S30" s="17">
        <f t="shared" si="3"/>
        <v>44.49980309557621</v>
      </c>
      <c r="T30" s="17">
        <f t="shared" si="3"/>
        <v>2.9834003603947634</v>
      </c>
      <c r="U30" s="5"/>
    </row>
    <row r="31" spans="1:21" ht="15.75" customHeight="1">
      <c r="A31" s="1" t="s">
        <v>19</v>
      </c>
      <c r="B31" s="17">
        <f t="shared" si="0"/>
        <v>39.022129533078434</v>
      </c>
      <c r="C31" s="17">
        <f t="shared" si="0"/>
        <v>5.213764337851929</v>
      </c>
      <c r="D31" s="17">
        <f t="shared" si="0"/>
        <v>55.76410612906963</v>
      </c>
      <c r="E31" s="17">
        <f t="shared" si="0"/>
        <v>0</v>
      </c>
      <c r="G31" s="17">
        <f t="shared" si="1"/>
        <v>40.8608138748558</v>
      </c>
      <c r="H31" s="17">
        <f t="shared" si="1"/>
        <v>1.7104896773936908</v>
      </c>
      <c r="I31" s="17">
        <f t="shared" si="1"/>
        <v>57.428696447750504</v>
      </c>
      <c r="J31" s="17">
        <f t="shared" si="1"/>
        <v>0</v>
      </c>
      <c r="L31" s="17">
        <f t="shared" si="2"/>
        <v>41.48025407346037</v>
      </c>
      <c r="M31" s="17">
        <f t="shared" si="2"/>
        <v>1.5780960271432516</v>
      </c>
      <c r="N31" s="17">
        <f t="shared" si="2"/>
        <v>56.941649899396374</v>
      </c>
      <c r="O31" s="17">
        <f t="shared" si="2"/>
        <v>0</v>
      </c>
      <c r="Q31" s="17">
        <f t="shared" si="3"/>
        <v>34.84626647144949</v>
      </c>
      <c r="R31" s="17">
        <f t="shared" si="3"/>
        <v>8.072494163270152</v>
      </c>
      <c r="S31" s="17">
        <f t="shared" si="3"/>
        <v>57.08123936528037</v>
      </c>
      <c r="T31" s="17">
        <f t="shared" si="3"/>
        <v>0</v>
      </c>
      <c r="U31" s="5"/>
    </row>
    <row r="32" spans="1:21" ht="14.25" customHeight="1">
      <c r="A32" s="1" t="s">
        <v>20</v>
      </c>
      <c r="B32" s="17">
        <f t="shared" si="0"/>
        <v>37.84661503872096</v>
      </c>
      <c r="C32" s="17">
        <f t="shared" si="0"/>
        <v>2.9477891581314015</v>
      </c>
      <c r="D32" s="17">
        <f t="shared" si="0"/>
        <v>56.707469397951535</v>
      </c>
      <c r="E32" s="17">
        <f t="shared" si="0"/>
        <v>2.498126405196103</v>
      </c>
      <c r="G32" s="17">
        <f t="shared" si="1"/>
        <v>39.20454545454545</v>
      </c>
      <c r="H32" s="17">
        <f t="shared" si="1"/>
        <v>5.991735537190083</v>
      </c>
      <c r="I32" s="17">
        <f t="shared" si="1"/>
        <v>52.22107438016529</v>
      </c>
      <c r="J32" s="17">
        <f t="shared" si="1"/>
        <v>2.5826446280991737</v>
      </c>
      <c r="L32" s="17">
        <f t="shared" si="2"/>
        <v>39.12704598597038</v>
      </c>
      <c r="M32" s="17">
        <f t="shared" si="2"/>
        <v>0.9353078721745909</v>
      </c>
      <c r="N32" s="17">
        <f t="shared" si="2"/>
        <v>57.33956871914783</v>
      </c>
      <c r="O32" s="17">
        <f t="shared" si="2"/>
        <v>2.5980774227071968</v>
      </c>
      <c r="Q32" s="17">
        <f t="shared" si="3"/>
        <v>36.32907955471084</v>
      </c>
      <c r="R32" s="17">
        <f t="shared" si="3"/>
        <v>1.0589193592180288</v>
      </c>
      <c r="S32" s="17">
        <f t="shared" si="3"/>
        <v>59.89682324192235</v>
      </c>
      <c r="T32" s="17">
        <f t="shared" si="3"/>
        <v>2.7151778441487915</v>
      </c>
      <c r="U32" s="5"/>
    </row>
    <row r="33" ht="15.75" customHeight="1">
      <c r="U33" s="5"/>
    </row>
    <row r="34" ht="15.75" customHeight="1">
      <c r="U34" s="5"/>
    </row>
    <row r="35" spans="1:21" ht="15.75" customHeight="1">
      <c r="A35" s="3" t="s">
        <v>13</v>
      </c>
      <c r="B35" s="3"/>
      <c r="C35" s="3"/>
      <c r="D35" s="3"/>
      <c r="E35" s="3"/>
      <c r="F35" s="3"/>
      <c r="G35" s="3"/>
      <c r="H35" s="3"/>
      <c r="I35" s="3"/>
      <c r="J35" s="3"/>
      <c r="K35" s="3"/>
      <c r="U35" s="5"/>
    </row>
    <row r="36" spans="1:21" ht="15.75" customHeight="1">
      <c r="A36" s="1" t="s">
        <v>16</v>
      </c>
      <c r="B36" s="18">
        <f>(B6/$G21)*100</f>
        <v>44.34910517283648</v>
      </c>
      <c r="C36" s="18" t="s">
        <v>1</v>
      </c>
      <c r="D36" s="18">
        <f aca="true" t="shared" si="4" ref="D36:E40">(D6/$G21)*100</f>
        <v>53.19931355724442</v>
      </c>
      <c r="E36" s="18">
        <f t="shared" si="4"/>
        <v>2.4515812699190977</v>
      </c>
      <c r="G36" s="18">
        <f>(G6/$H21)*100</f>
        <v>45.10895883777239</v>
      </c>
      <c r="H36" s="18"/>
      <c r="I36" s="18">
        <f aca="true" t="shared" si="5" ref="I36:J40">(I6/$H21)*100</f>
        <v>52.469733656174334</v>
      </c>
      <c r="J36" s="18">
        <f t="shared" si="5"/>
        <v>2.4213075060532687</v>
      </c>
      <c r="L36" s="18">
        <f>(L6/$I21)*100</f>
        <v>45.55219146482122</v>
      </c>
      <c r="M36" s="18"/>
      <c r="N36" s="18">
        <f aca="true" t="shared" si="6" ref="N36:O40">(N6/$I21)*100</f>
        <v>52.04488658208382</v>
      </c>
      <c r="O36" s="18">
        <f t="shared" si="6"/>
        <v>2.402921953094963</v>
      </c>
      <c r="Q36" s="18">
        <f>(Q6/$J21)*100</f>
        <v>45.1835361869964</v>
      </c>
      <c r="R36" s="18"/>
      <c r="S36" s="18">
        <f aca="true" t="shared" si="7" ref="S36:T40">(S6/$J21)*100</f>
        <v>52.396738209887005</v>
      </c>
      <c r="T36" s="18">
        <f t="shared" si="7"/>
        <v>2.4197256031166066</v>
      </c>
      <c r="U36" s="5"/>
    </row>
    <row r="37" spans="1:21" ht="15.75" customHeight="1">
      <c r="A37" s="1" t="s">
        <v>17</v>
      </c>
      <c r="B37" s="18">
        <f>(B7/$G22)*100</f>
        <v>33.911366123795084</v>
      </c>
      <c r="C37" s="18" t="s">
        <v>1</v>
      </c>
      <c r="D37" s="18">
        <f t="shared" si="4"/>
        <v>66.08863387620491</v>
      </c>
      <c r="E37" s="18">
        <f t="shared" si="4"/>
        <v>0</v>
      </c>
      <c r="G37" s="18">
        <f>(G7/$H22)*100</f>
        <v>38.14296307446992</v>
      </c>
      <c r="H37" s="18"/>
      <c r="I37" s="18">
        <f t="shared" si="5"/>
        <v>61.857036925530075</v>
      </c>
      <c r="J37" s="18">
        <f t="shared" si="5"/>
        <v>0</v>
      </c>
      <c r="L37" s="18">
        <f>(L7/$I22)*100</f>
        <v>38.716936305975416</v>
      </c>
      <c r="M37" s="18"/>
      <c r="N37" s="18">
        <f t="shared" si="6"/>
        <v>61.283063694024584</v>
      </c>
      <c r="O37" s="18">
        <f t="shared" si="6"/>
        <v>0</v>
      </c>
      <c r="Q37" s="18">
        <f>(Q7/$J22)*100</f>
        <v>36.07079128272635</v>
      </c>
      <c r="R37" s="18"/>
      <c r="S37" s="18">
        <f t="shared" si="7"/>
        <v>63.92920871727365</v>
      </c>
      <c r="T37" s="18">
        <f t="shared" si="7"/>
        <v>0</v>
      </c>
      <c r="U37" s="5"/>
    </row>
    <row r="38" spans="1:21" ht="15.75" customHeight="1">
      <c r="A38" s="1" t="s">
        <v>18</v>
      </c>
      <c r="B38" s="18">
        <f>(B8/$G23)*100</f>
        <v>46.80339454857595</v>
      </c>
      <c r="C38" s="18" t="s">
        <v>1</v>
      </c>
      <c r="D38" s="18">
        <f t="shared" si="4"/>
        <v>50.48876517067518</v>
      </c>
      <c r="E38" s="18">
        <f t="shared" si="4"/>
        <v>2.70784028074888</v>
      </c>
      <c r="G38" s="18">
        <f>(G8/$H23)*100</f>
        <v>48.54414730951916</v>
      </c>
      <c r="H38" s="18"/>
      <c r="I38" s="18">
        <f t="shared" si="5"/>
        <v>48.744767605786535</v>
      </c>
      <c r="J38" s="18">
        <f t="shared" si="5"/>
        <v>2.711085084694298</v>
      </c>
      <c r="L38" s="18">
        <f>(L8/$I23)*100</f>
        <v>53.19848873614086</v>
      </c>
      <c r="M38" s="18"/>
      <c r="N38" s="18">
        <f t="shared" si="6"/>
        <v>43.85901932628705</v>
      </c>
      <c r="O38" s="18">
        <f t="shared" si="6"/>
        <v>2.942491937572091</v>
      </c>
      <c r="Q38" s="18">
        <f>(Q8/$J23)*100</f>
        <v>51.77468714965306</v>
      </c>
      <c r="R38" s="18"/>
      <c r="S38" s="18">
        <f t="shared" si="7"/>
        <v>45.19528527709602</v>
      </c>
      <c r="T38" s="18">
        <f t="shared" si="7"/>
        <v>3.0300275732509165</v>
      </c>
      <c r="U38" s="5"/>
    </row>
    <row r="39" spans="1:21" ht="15.75" customHeight="1">
      <c r="A39" s="1" t="s">
        <v>19</v>
      </c>
      <c r="B39" s="18">
        <f>(B9/$G24)*100</f>
        <v>41.168561300574495</v>
      </c>
      <c r="C39" s="18" t="s">
        <v>1</v>
      </c>
      <c r="D39" s="18">
        <f t="shared" si="4"/>
        <v>58.8314386994255</v>
      </c>
      <c r="E39" s="18">
        <f t="shared" si="4"/>
        <v>0</v>
      </c>
      <c r="G39" s="18">
        <f>(G9/$H24)*100</f>
        <v>41.57189687967947</v>
      </c>
      <c r="H39" s="18"/>
      <c r="I39" s="18">
        <f t="shared" si="5"/>
        <v>58.42810312032053</v>
      </c>
      <c r="J39" s="18">
        <f t="shared" si="5"/>
        <v>0</v>
      </c>
      <c r="L39" s="18">
        <f>(L9/$I24)*100</f>
        <v>42.14534813805267</v>
      </c>
      <c r="M39" s="18"/>
      <c r="N39" s="18">
        <f t="shared" si="6"/>
        <v>57.854651861947325</v>
      </c>
      <c r="O39" s="18">
        <f t="shared" si="6"/>
        <v>0</v>
      </c>
      <c r="Q39" s="18">
        <f>(Q9/$J24)*100</f>
        <v>37.90624596444406</v>
      </c>
      <c r="R39" s="18"/>
      <c r="S39" s="18">
        <f t="shared" si="7"/>
        <v>62.09375403555594</v>
      </c>
      <c r="T39" s="18">
        <f t="shared" si="7"/>
        <v>0</v>
      </c>
      <c r="U39" s="5"/>
    </row>
    <row r="40" spans="1:21" ht="15.75" customHeight="1">
      <c r="A40" s="1" t="s">
        <v>20</v>
      </c>
      <c r="B40" s="18">
        <f>(B10/$G25)*100</f>
        <v>38.996138996138995</v>
      </c>
      <c r="C40" s="18" t="s">
        <v>1</v>
      </c>
      <c r="D40" s="18">
        <f t="shared" si="4"/>
        <v>58.42985842985843</v>
      </c>
      <c r="E40" s="18">
        <f t="shared" si="4"/>
        <v>2.574002574002574</v>
      </c>
      <c r="G40" s="18">
        <f>(G10/$H25)*100</f>
        <v>41.70329670329671</v>
      </c>
      <c r="H40" s="18"/>
      <c r="I40" s="18">
        <f t="shared" si="5"/>
        <v>55.549450549450555</v>
      </c>
      <c r="J40" s="18">
        <f t="shared" si="5"/>
        <v>2.7472527472527473</v>
      </c>
      <c r="L40" s="18">
        <f>(L10/$I25)*100</f>
        <v>39.496459480723836</v>
      </c>
      <c r="M40" s="18"/>
      <c r="N40" s="18">
        <f t="shared" si="6"/>
        <v>57.88093364804616</v>
      </c>
      <c r="O40" s="18">
        <f t="shared" si="6"/>
        <v>2.6226068712300026</v>
      </c>
      <c r="Q40" s="18">
        <f>(Q10/$J25)*100</f>
        <v>36.717892425905596</v>
      </c>
      <c r="R40" s="18"/>
      <c r="S40" s="18">
        <f t="shared" si="7"/>
        <v>60.537870472008784</v>
      </c>
      <c r="T40" s="18">
        <f t="shared" si="7"/>
        <v>2.7442371020856204</v>
      </c>
      <c r="U40" s="5"/>
    </row>
    <row r="41" ht="15.75" customHeight="1"/>
    <row r="42" ht="15.75" customHeight="1"/>
    <row r="43" spans="1:20" ht="15.75" customHeight="1">
      <c r="A43" s="3" t="s">
        <v>14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R43" s="3"/>
      <c r="S43" s="3"/>
      <c r="T43" s="3"/>
    </row>
    <row r="44" spans="2:20" s="3" customFormat="1" ht="31.5" customHeight="1">
      <c r="B44" s="8" t="s">
        <v>2</v>
      </c>
      <c r="C44" s="8" t="s">
        <v>3</v>
      </c>
      <c r="D44" s="8" t="s">
        <v>4</v>
      </c>
      <c r="E44" s="8" t="s">
        <v>5</v>
      </c>
      <c r="G44" s="8"/>
      <c r="H44" s="8"/>
      <c r="I44" s="8"/>
      <c r="J44" s="8"/>
      <c r="L44" s="8"/>
      <c r="M44" s="8"/>
      <c r="N44" s="8"/>
      <c r="O44" s="8"/>
      <c r="Q44" s="8"/>
      <c r="R44" s="8"/>
      <c r="S44" s="8"/>
      <c r="T44" s="8"/>
    </row>
    <row r="45" spans="1:20" ht="15.75" customHeight="1">
      <c r="A45" s="1" t="s">
        <v>16</v>
      </c>
      <c r="B45" s="17">
        <f>AVERAGE(B28,G28,L28,Q28)</f>
        <v>41.59703404280067</v>
      </c>
      <c r="C45" s="18">
        <f>AVERAGE(C28,H28,M28,R28)</f>
        <v>7.673584399940703</v>
      </c>
      <c r="D45" s="18">
        <f>AVERAGE(D28,I28,N28,S28)</f>
        <v>48.491727985711435</v>
      </c>
      <c r="E45" s="18">
        <f>AVERAGE(E28,J28,O28,T28)</f>
        <v>2.2376535715471872</v>
      </c>
      <c r="F45" s="19">
        <f>(D45+C45)/100</f>
        <v>0.5616531238565213</v>
      </c>
      <c r="G45" s="18"/>
      <c r="H45" s="20"/>
      <c r="I45" s="18"/>
      <c r="J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1:20" ht="15.75" customHeight="1">
      <c r="A46" s="1" t="s">
        <v>17</v>
      </c>
      <c r="B46" s="18">
        <f aca="true" t="shared" si="8" ref="B46:E48">AVERAGE(B29,G29,L29,Q29)</f>
        <v>36.13896751926953</v>
      </c>
      <c r="C46" s="18">
        <f t="shared" si="8"/>
        <v>1.5681110263229565</v>
      </c>
      <c r="D46" s="18">
        <f t="shared" si="8"/>
        <v>62.292921454407505</v>
      </c>
      <c r="E46" s="18">
        <f t="shared" si="8"/>
        <v>0</v>
      </c>
      <c r="F46" s="19">
        <f>(D46+C46)/100</f>
        <v>0.6386103248073046</v>
      </c>
      <c r="G46" s="18"/>
      <c r="H46" s="20"/>
      <c r="I46" s="18"/>
      <c r="J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1:20" ht="15.75" customHeight="1">
      <c r="A47" s="1" t="s">
        <v>18</v>
      </c>
      <c r="B47" s="18">
        <f t="shared" si="8"/>
        <v>49.42950949986353</v>
      </c>
      <c r="C47" s="18">
        <f t="shared" si="8"/>
        <v>1.3005905292006457</v>
      </c>
      <c r="D47" s="18">
        <f t="shared" si="8"/>
        <v>46.45933363371721</v>
      </c>
      <c r="E47" s="18">
        <f t="shared" si="8"/>
        <v>2.8105663372186207</v>
      </c>
      <c r="F47" s="19">
        <f>(D47+C47)/100</f>
        <v>0.47759924162917855</v>
      </c>
      <c r="G47" s="18"/>
      <c r="H47" s="20"/>
      <c r="I47" s="18"/>
      <c r="J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1:20" ht="15.75" customHeight="1">
      <c r="A48" s="1" t="s">
        <v>19</v>
      </c>
      <c r="B48" s="18">
        <f t="shared" si="8"/>
        <v>39.05236598821102</v>
      </c>
      <c r="C48" s="18">
        <f t="shared" si="8"/>
        <v>4.143711051414756</v>
      </c>
      <c r="D48" s="18">
        <f t="shared" si="8"/>
        <v>56.803922960374216</v>
      </c>
      <c r="E48" s="18">
        <f t="shared" si="8"/>
        <v>0</v>
      </c>
      <c r="F48" s="19">
        <f>(D48+C48)/100</f>
        <v>0.6094763401178898</v>
      </c>
      <c r="G48" s="18"/>
      <c r="H48" s="20"/>
      <c r="I48" s="18"/>
      <c r="J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1:20" ht="15.75" customHeight="1">
      <c r="A49" s="1" t="s">
        <v>20</v>
      </c>
      <c r="B49" s="18">
        <f>AVERAGE(B32,G32,L32,Q32)</f>
        <v>38.12682150848691</v>
      </c>
      <c r="C49" s="18">
        <f>AVERAGE(C32,H32,M32,R32)</f>
        <v>2.733437981678526</v>
      </c>
      <c r="D49" s="18">
        <f>AVERAGE(D32,I32,N32,S32)</f>
        <v>56.54123393479675</v>
      </c>
      <c r="E49" s="18">
        <f>AVERAGE(E32,J32,O32,T32)</f>
        <v>2.598506575037816</v>
      </c>
      <c r="F49" s="19">
        <f>(D49+C49)/100</f>
        <v>0.5927467191647527</v>
      </c>
      <c r="G49" s="18"/>
      <c r="H49" s="20"/>
      <c r="I49" s="18"/>
      <c r="J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2:5" ht="14.25">
      <c r="B50" s="5"/>
      <c r="C50" s="5"/>
      <c r="D50" s="5"/>
      <c r="E50" s="5"/>
    </row>
    <row r="51" spans="1:5" ht="15">
      <c r="A51" s="3" t="s">
        <v>15</v>
      </c>
      <c r="B51" s="21">
        <f>AVERAGE(B45:B49)</f>
        <v>40.86893971172633</v>
      </c>
      <c r="C51" s="21">
        <f>AVERAGE(C45:C49)</f>
        <v>3.4838869977115174</v>
      </c>
      <c r="D51" s="21">
        <f>AVERAGE(D45:D49)</f>
        <v>54.11782799380143</v>
      </c>
      <c r="E51" s="21">
        <f>AVERAGE(E45:E49)</f>
        <v>1.5293452967607248</v>
      </c>
    </row>
  </sheetData>
  <sheetProtection/>
  <mergeCells count="4">
    <mergeCell ref="B16:E16"/>
    <mergeCell ref="G16:J16"/>
    <mergeCell ref="B17:E17"/>
    <mergeCell ref="G17:J17"/>
  </mergeCells>
  <printOptions/>
  <pageMargins left="0.75" right="0.75" top="1" bottom="1" header="0.5" footer="0.5"/>
  <pageSetup fitToHeight="4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Foster Associates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NPB IR-095 Att 29 ELECTRONIC.xls</dc:title>
  <dc:subject/>
  <dc:creator>Karen Morgan</dc:creator>
  <cp:keywords/>
  <dc:description/>
  <cp:lastModifiedBy>Penny Gibbs</cp:lastModifiedBy>
  <cp:lastPrinted>2011-06-21T12:58:45Z</cp:lastPrinted>
  <dcterms:created xsi:type="dcterms:W3CDTF">2007-06-04T18:26:18Z</dcterms:created>
  <dcterms:modified xsi:type="dcterms:W3CDTF">2011-06-21T17:33:29Z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display_urn:schemas-microsoft-com:office:office#Edit">
    <vt:lpwstr>Drover, Lynne</vt:lpwstr>
  </property>
  <property fmtid="{D5CDD505-2E9C-101B-9397-08002B2CF9AE}" pid="5" name="display_urn:schemas-microsoft-com:office:office#Auth">
    <vt:lpwstr>Cyr, Jennifer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ContentType">
    <vt:lpwstr>0x0101007B80CFDF7D147D4B858BD6AB7FB844D5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Ord">
    <vt:lpwstr>208600.000000000</vt:lpwstr>
  </property>
  <property fmtid="{D5CDD505-2E9C-101B-9397-08002B2CF9AE}" pid="12" name="Ownersh">
    <vt:lpwstr>8) Sign-Off</vt:lpwstr>
  </property>
  <property fmtid="{D5CDD505-2E9C-101B-9397-08002B2CF9AE}" pid="13" name="Assigned t">
    <vt:lpwstr>15</vt:lpwstr>
  </property>
  <property fmtid="{D5CDD505-2E9C-101B-9397-08002B2CF9AE}" pid="14" name="display_urn:schemas-microsoft-com:office:office#Assigned_x0020_t">
    <vt:lpwstr>PETERS, NICHOLAS</vt:lpwstr>
  </property>
  <property fmtid="{D5CDD505-2E9C-101B-9397-08002B2CF9AE}" pid="15" name="display_urn:schemas-microsoft-com:office:office#Review">
    <vt:lpwstr>KEHOE, CLAUDETTE</vt:lpwstr>
  </property>
  <property fmtid="{D5CDD505-2E9C-101B-9397-08002B2CF9AE}" pid="16" name="Review">
    <vt:lpwstr>19</vt:lpwstr>
  </property>
  <property fmtid="{D5CDD505-2E9C-101B-9397-08002B2CF9AE}" pid="17" name="Date Due to OI (9a">
    <vt:lpwstr>2011-06-23T00:00:00Z</vt:lpwstr>
  </property>
  <property fmtid="{D5CDD505-2E9C-101B-9397-08002B2CF9AE}" pid="18" name="Date Rec">
    <vt:lpwstr>2011-06-16T00:00:00Z</vt:lpwstr>
  </property>
  <property fmtid="{D5CDD505-2E9C-101B-9397-08002B2CF9AE}" pid="19" name="Date for Sign-o">
    <vt:lpwstr>2011-06-28T00:00:00Z</vt:lpwstr>
  </property>
  <property fmtid="{D5CDD505-2E9C-101B-9397-08002B2CF9AE}" pid="20" name="File Da">
    <vt:lpwstr>2011-06-30T00:00:00Z</vt:lpwstr>
  </property>
  <property fmtid="{D5CDD505-2E9C-101B-9397-08002B2CF9AE}" pid="21" name="Confidenti">
    <vt:lpwstr>Non-Confidential</vt:lpwstr>
  </property>
  <property fmtid="{D5CDD505-2E9C-101B-9397-08002B2CF9AE}" pid="22" name="File Electronicall">
    <vt:lpwstr>1</vt:lpwstr>
  </property>
</Properties>
</file>