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tabRatio="775" activeTab="0"/>
  </bookViews>
  <sheets>
    <sheet name="database" sheetId="1" r:id="rId1"/>
    <sheet name="2014 Revenue Summary - B" sheetId="2" r:id="rId2"/>
    <sheet name="2014 Revenue Summary - B2" sheetId="3" r:id="rId3"/>
    <sheet name="2013 Revenue Summary - B" sheetId="4" r:id="rId4"/>
    <sheet name="2013 Revenue Summary - B2" sheetId="5" r:id="rId5"/>
    <sheet name="2014 Deferred Amount V2" sheetId="6" r:id="rId6"/>
    <sheet name="2013 Deferred Amount V2" sheetId="7" r:id="rId7"/>
  </sheets>
  <definedNames>
    <definedName name="Act09_vs_GRA2011">#REF!</definedName>
    <definedName name="Actual09_vs_CF09">#REF!</definedName>
    <definedName name="CF09_vs_GRA11">#REF!</definedName>
    <definedName name="CF09vsA10">#REF!</definedName>
    <definedName name="GRA2012">#REF!</definedName>
    <definedName name="GRA2012MayvsAug">#REF!</definedName>
    <definedName name="_xlnm.Print_Area" localSheetId="6">'2013 Deferred Amount V2'!$A$1:$M$51</definedName>
    <definedName name="_xlnm.Print_Area" localSheetId="3">'2013 Revenue Summary - B'!$A$2:$U$49</definedName>
    <definedName name="_xlnm.Print_Area" localSheetId="4">'2013 Revenue Summary - B2'!$A$2:$U$50</definedName>
    <definedName name="_xlnm.Print_Area" localSheetId="5">'2014 Deferred Amount V2'!$A$2:$J$51</definedName>
    <definedName name="_xlnm.Print_Area" localSheetId="1">'2014 Revenue Summary - B'!$A$2:$U$47</definedName>
    <definedName name="_xlnm.Print_Area" localSheetId="2">'2014 Revenue Summary - B2'!$A$2:$U$50</definedName>
    <definedName name="_xlnm.Print_Titles" localSheetId="0">'database'!$A:$A,'database'!$3:$5</definedName>
    <definedName name="Report">#REF!</definedName>
  </definedNames>
  <calcPr fullCalcOnLoad="1"/>
</workbook>
</file>

<file path=xl/sharedStrings.xml><?xml version="1.0" encoding="utf-8"?>
<sst xmlns="http://schemas.openxmlformats.org/spreadsheetml/2006/main" count="493" uniqueCount="133">
  <si>
    <t>Small General</t>
  </si>
  <si>
    <t>Large General</t>
  </si>
  <si>
    <t>Small Industrial</t>
  </si>
  <si>
    <t>Medium Industrial</t>
  </si>
  <si>
    <t>Municipal</t>
  </si>
  <si>
    <t>Unmetered</t>
  </si>
  <si>
    <t>GRLF</t>
  </si>
  <si>
    <t>Total</t>
  </si>
  <si>
    <t>Residential</t>
  </si>
  <si>
    <t>General Demand</t>
  </si>
  <si>
    <t>Total Commercial</t>
  </si>
  <si>
    <t>Total Industrial</t>
  </si>
  <si>
    <t>Mersey Additional Energy</t>
  </si>
  <si>
    <t>Bowater Mersey</t>
  </si>
  <si>
    <t>ELI  2PT - RTP</t>
  </si>
  <si>
    <t>In Province Total</t>
  </si>
  <si>
    <t>Export</t>
  </si>
  <si>
    <t>Total Electric Sales</t>
  </si>
  <si>
    <t>Losses</t>
  </si>
  <si>
    <t>Total Revenue\System Requirement</t>
  </si>
  <si>
    <t>Rate Classes</t>
  </si>
  <si>
    <t>ATL</t>
  </si>
  <si>
    <t>BTL</t>
  </si>
  <si>
    <t>Total Other</t>
  </si>
  <si>
    <t>FAM classes</t>
  </si>
  <si>
    <t>Total ATL Classes</t>
  </si>
  <si>
    <t>Total BTL Classes</t>
  </si>
  <si>
    <t>A</t>
  </si>
  <si>
    <t>C</t>
  </si>
  <si>
    <t>D</t>
  </si>
  <si>
    <t>E</t>
  </si>
  <si>
    <t>B</t>
  </si>
  <si>
    <t>Amount</t>
  </si>
  <si>
    <t>Variance</t>
  </si>
  <si>
    <t>Increase</t>
  </si>
  <si>
    <t>Grand Total</t>
  </si>
  <si>
    <t>ELI 2P-RTP (debits &amp; credits only)</t>
  </si>
  <si>
    <t>Misc Revenue</t>
  </si>
  <si>
    <t>AA Component</t>
  </si>
  <si>
    <t>BA Component</t>
  </si>
  <si>
    <t xml:space="preserve">  Misc. Revenue\Export Losses</t>
  </si>
  <si>
    <t xml:space="preserve">  Losses</t>
  </si>
  <si>
    <t xml:space="preserve">  Total</t>
  </si>
  <si>
    <t>2012 Amount</t>
  </si>
  <si>
    <t>LED SL Capital Related Costs</t>
  </si>
  <si>
    <t>LED SL LTC</t>
  </si>
  <si>
    <t>Total LED</t>
  </si>
  <si>
    <t>LED SL Capital Costs</t>
  </si>
  <si>
    <t>BTL (Electric)</t>
  </si>
  <si>
    <t>Total BTL (Electric) Classes</t>
  </si>
  <si>
    <t>N/A</t>
  </si>
  <si>
    <t>Increase (%) over Total Cost of Power</t>
  </si>
  <si>
    <t>F</t>
  </si>
  <si>
    <t>G</t>
  </si>
  <si>
    <t>I</t>
  </si>
  <si>
    <t>M</t>
  </si>
  <si>
    <t>N</t>
  </si>
  <si>
    <t>O</t>
  </si>
  <si>
    <t>P</t>
  </si>
  <si>
    <t>Q</t>
  </si>
  <si>
    <t>J</t>
  </si>
  <si>
    <t>K</t>
  </si>
  <si>
    <t>S</t>
  </si>
  <si>
    <t>2012 FAM AA</t>
  </si>
  <si>
    <t>2012 FAM BA</t>
  </si>
  <si>
    <t>ELI  2PT - RTP*</t>
  </si>
  <si>
    <t>Columns</t>
  </si>
  <si>
    <t>H</t>
  </si>
  <si>
    <t>L</t>
  </si>
  <si>
    <t>R</t>
  </si>
  <si>
    <t>Large Industrial - Firm</t>
  </si>
  <si>
    <t>Large Industrial - Interruptible</t>
  </si>
  <si>
    <t>Total Large Industrial</t>
  </si>
  <si>
    <t>Large Industrial (Total)</t>
  </si>
  <si>
    <t>2013 Revenue at current rates before cost adjustment clauses</t>
  </si>
  <si>
    <t>Proposed Revenues 2013 Before Riders</t>
  </si>
  <si>
    <t>2013 Amount</t>
  </si>
  <si>
    <t>2013 Sales (GWh's)</t>
  </si>
  <si>
    <t>LRT</t>
  </si>
  <si>
    <t>2013 Revenues</t>
  </si>
  <si>
    <t>2013 at Current Rates</t>
  </si>
  <si>
    <t>2013 at Proposed Rates</t>
  </si>
  <si>
    <t>2013 BA</t>
  </si>
  <si>
    <t xml:space="preserve">2013 REVENUE INCREASE ANALYSIS </t>
  </si>
  <si>
    <t>2014 Revenues</t>
  </si>
  <si>
    <t>2014 at Current Rates</t>
  </si>
  <si>
    <t>2014 at Proposed Rates</t>
  </si>
  <si>
    <t>2014 Sales (GWh's)</t>
  </si>
  <si>
    <t>2014 Revenue at current rates before cost adjustment clauses</t>
  </si>
  <si>
    <t>2013 FAM BA</t>
  </si>
  <si>
    <t xml:space="preserve">Revenue at current rates including 2013 BA </t>
  </si>
  <si>
    <t xml:space="preserve">2014 REVENUE INCREASE ANALYSIS </t>
  </si>
  <si>
    <t>Proposed Revenues 2014 Before Riders</t>
  </si>
  <si>
    <t>Revenue at current rates including 2012 AA/BA</t>
  </si>
  <si>
    <t xml:space="preserve">2013 Revenue reflective of all FAM components </t>
  </si>
  <si>
    <t>* The 2012 FAM AA/BA Figures have been adjusted to reflect the 2013 LRT Load</t>
  </si>
  <si>
    <t>2013 FAM AA</t>
  </si>
  <si>
    <t>2014 Amount</t>
  </si>
  <si>
    <t xml:space="preserve">2014 Revenue reflective of all FAM components </t>
  </si>
  <si>
    <t>* The figures for LRT have been adjusted to reflect the correct load</t>
  </si>
  <si>
    <t>LED SL Capital Costs**</t>
  </si>
  <si>
    <t>2014 at Current Rates - Rate Stablization</t>
  </si>
  <si>
    <t>**LED Capital Costs will be updated at the time of the capital work order</t>
  </si>
  <si>
    <t>Proposed Revenues 2013 Before Riders and with Rate Stabilization</t>
  </si>
  <si>
    <t>2013 REVENUE INCREASE ANALYSIS  - RATE STABILIZATION</t>
  </si>
  <si>
    <t>Interest</t>
  </si>
  <si>
    <t>WACC</t>
  </si>
  <si>
    <t>Proposed Revenues 2014 Before Riders and with Rate Stabilization</t>
  </si>
  <si>
    <t>2014 REVENUE INCREASE ANALYSIS - RATE STABILIZATION</t>
  </si>
  <si>
    <t>2014 Deferred Amount</t>
  </si>
  <si>
    <t>2013 Deferred Amount</t>
  </si>
  <si>
    <t>2014 Total</t>
  </si>
  <si>
    <t>Total Deferred Amount</t>
  </si>
  <si>
    <t>2013 Proposed Revenues With Riders Before Rate Stabilization</t>
  </si>
  <si>
    <t>2013 Proposed Revenues With Riders After Rate Stabilization</t>
  </si>
  <si>
    <t>2014 Proposed Revenues With Riders Before Rate Stabilization</t>
  </si>
  <si>
    <t>2014 Proposed Revenues With Riders After Rate Stabilization</t>
  </si>
  <si>
    <t>Formula</t>
  </si>
  <si>
    <t>Formulas</t>
  </si>
  <si>
    <t>T + U + V</t>
  </si>
  <si>
    <t xml:space="preserve">A </t>
  </si>
  <si>
    <t>A - C</t>
  </si>
  <si>
    <t>Total 2013 Deferred Amount</t>
  </si>
  <si>
    <t>G - H</t>
  </si>
  <si>
    <t>C + D + E</t>
  </si>
  <si>
    <t>I + J + K</t>
  </si>
  <si>
    <t xml:space="preserve">2013 Deferred Amount </t>
  </si>
  <si>
    <t>Total Interest Associated with 2013 Deferral by the end of 2014</t>
  </si>
  <si>
    <t>Revenue Increase relief by rate class by the end of 2014</t>
  </si>
  <si>
    <t>Fixed Cost Contribution from the NPPH Mill</t>
  </si>
  <si>
    <t>RELIEF FROM 2013 REVENUE INCREASE UNDER RATE STABILIZATION PLAN</t>
  </si>
  <si>
    <t>RELIEF FROM 2014 REVENUE INCREASE UNDER RATE STABILIZATION PLAN</t>
  </si>
  <si>
    <t>2012 Revenues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</si>
</sst>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[$$-409]#,##0;[Red]\-[$$-409]#,##0"/>
    <numFmt numFmtId="166" formatCode="#,##0.0_);[Red]\(#,##0.0\)"/>
    <numFmt numFmtId="167" formatCode="#,##0.000_);[Red]\(#,##0.000\)"/>
    <numFmt numFmtId="168" formatCode="0.0%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  <numFmt numFmtId="174" formatCode="&quot;$&quot;#,##0.0_);[Red]\(&quot;$&quot;#,##0.0\)"/>
    <numFmt numFmtId="175" formatCode="0.0000000000"/>
    <numFmt numFmtId="176" formatCode="0.0000000000000000%"/>
    <numFmt numFmtId="177" formatCode="&quot;$&quot;#,##0.000_);[Red]\(&quot;$&quot;#,##0.000\)"/>
    <numFmt numFmtId="178" formatCode="0.000%"/>
    <numFmt numFmtId="179" formatCode="#,##0.0_);\(#,##0.0\)"/>
    <numFmt numFmtId="180" formatCode="0.0"/>
    <numFmt numFmtId="181" formatCode="&quot;$&quot;#,##0"/>
    <numFmt numFmtId="182" formatCode="_(* #,##0.0000_);_(* \(#,##0.0000\);_(* &quot;-&quot;??_);_(@_)"/>
    <numFmt numFmtId="183" formatCode="0.000"/>
    <numFmt numFmtId="184" formatCode="0.0000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$&quot;#,##0.0000_);[Red]\(&quot;$&quot;#,##0.0000\)"/>
    <numFmt numFmtId="191" formatCode="&quot;$&quot;#,##0.0000"/>
    <numFmt numFmtId="192" formatCode="&quot;$&quot;#,##0.00"/>
    <numFmt numFmtId="193" formatCode="&quot;$&quot;#,##0.0"/>
    <numFmt numFmtId="194" formatCode="0.0000_);[Red]\(0.0000\)"/>
    <numFmt numFmtId="195" formatCode="0.0000000%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166" fontId="1" fillId="0" borderId="14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166" fontId="0" fillId="0" borderId="14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166" fontId="8" fillId="0" borderId="14" xfId="42" applyNumberFormat="1" applyFont="1" applyFill="1" applyBorder="1" applyAlignment="1">
      <alignment horizontal="right"/>
    </xf>
    <xf numFmtId="6" fontId="8" fillId="0" borderId="0" xfId="42" applyNumberFormat="1" applyFont="1" applyFill="1" applyBorder="1" applyAlignment="1">
      <alignment horizontal="right"/>
    </xf>
    <xf numFmtId="6" fontId="1" fillId="0" borderId="0" xfId="44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6" fontId="0" fillId="0" borderId="14" xfId="0" applyNumberForma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center" wrapText="1"/>
    </xf>
    <xf numFmtId="6" fontId="1" fillId="0" borderId="14" xfId="42" applyNumberFormat="1" applyFont="1" applyFill="1" applyBorder="1" applyAlignment="1">
      <alignment horizontal="right"/>
    </xf>
    <xf numFmtId="6" fontId="0" fillId="0" borderId="14" xfId="42" applyNumberFormat="1" applyFont="1" applyFill="1" applyBorder="1" applyAlignment="1">
      <alignment horizontal="right"/>
    </xf>
    <xf numFmtId="6" fontId="8" fillId="0" borderId="14" xfId="42" applyNumberFormat="1" applyFont="1" applyFill="1" applyBorder="1" applyAlignment="1">
      <alignment horizontal="right"/>
    </xf>
    <xf numFmtId="6" fontId="1" fillId="0" borderId="14" xfId="44" applyNumberFormat="1" applyFont="1" applyFill="1" applyBorder="1" applyAlignment="1">
      <alignment horizontal="right"/>
    </xf>
    <xf numFmtId="168" fontId="1" fillId="0" borderId="9" xfId="64" applyNumberFormat="1" applyFont="1" applyBorder="1" applyAlignment="1">
      <alignment/>
    </xf>
    <xf numFmtId="6" fontId="1" fillId="0" borderId="9" xfId="42" applyNumberFormat="1" applyFont="1" applyFill="1" applyBorder="1" applyAlignment="1">
      <alignment horizontal="right"/>
    </xf>
    <xf numFmtId="6" fontId="0" fillId="0" borderId="9" xfId="42" applyNumberFormat="1" applyFont="1" applyFill="1" applyBorder="1" applyAlignment="1">
      <alignment horizontal="right"/>
    </xf>
    <xf numFmtId="6" fontId="8" fillId="0" borderId="9" xfId="42" applyNumberFormat="1" applyFont="1" applyFill="1" applyBorder="1" applyAlignment="1">
      <alignment horizontal="right"/>
    </xf>
    <xf numFmtId="6" fontId="1" fillId="0" borderId="9" xfId="44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8" fontId="8" fillId="0" borderId="9" xfId="64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8" fontId="0" fillId="0" borderId="0" xfId="0" applyNumberFormat="1" applyBorder="1" applyAlignment="1">
      <alignment/>
    </xf>
    <xf numFmtId="168" fontId="0" fillId="0" borderId="0" xfId="64" applyNumberFormat="1" applyFont="1" applyBorder="1" applyAlignment="1">
      <alignment/>
    </xf>
    <xf numFmtId="168" fontId="0" fillId="0" borderId="9" xfId="64" applyNumberFormat="1" applyFont="1" applyBorder="1" applyAlignment="1">
      <alignment/>
    </xf>
    <xf numFmtId="168" fontId="0" fillId="0" borderId="9" xfId="64" applyNumberFormat="1" applyBorder="1" applyAlignment="1">
      <alignment/>
    </xf>
    <xf numFmtId="168" fontId="0" fillId="0" borderId="13" xfId="64" applyNumberFormat="1" applyBorder="1" applyAlignment="1">
      <alignment/>
    </xf>
    <xf numFmtId="6" fontId="0" fillId="0" borderId="0" xfId="0" applyNumberFormat="1" applyAlignment="1">
      <alignment/>
    </xf>
    <xf numFmtId="168" fontId="0" fillId="0" borderId="9" xfId="64" applyNumberFormat="1" applyFill="1" applyBorder="1" applyAlignment="1">
      <alignment/>
    </xf>
    <xf numFmtId="168" fontId="8" fillId="0" borderId="9" xfId="64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 wrapText="1"/>
    </xf>
    <xf numFmtId="3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7" fontId="0" fillId="0" borderId="12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4" xfId="0" applyFont="1" applyFill="1" applyBorder="1" applyAlignment="1" applyProtection="1">
      <alignment wrapText="1"/>
      <protection locked="0"/>
    </xf>
    <xf numFmtId="168" fontId="0" fillId="0" borderId="12" xfId="64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181" fontId="1" fillId="0" borderId="0" xfId="42" applyNumberFormat="1" applyFont="1" applyFill="1" applyBorder="1" applyAlignment="1">
      <alignment horizontal="right"/>
    </xf>
    <xf numFmtId="181" fontId="0" fillId="0" borderId="0" xfId="42" applyNumberFormat="1" applyFont="1" applyFill="1" applyBorder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181" fontId="1" fillId="0" borderId="0" xfId="4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8" fontId="0" fillId="0" borderId="0" xfId="64" applyNumberFormat="1" applyBorder="1" applyAlignment="1">
      <alignment/>
    </xf>
    <xf numFmtId="168" fontId="1" fillId="0" borderId="0" xfId="64" applyNumberFormat="1" applyFont="1" applyBorder="1" applyAlignment="1">
      <alignment/>
    </xf>
    <xf numFmtId="6" fontId="8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68" fontId="8" fillId="0" borderId="0" xfId="64" applyNumberFormat="1" applyFont="1" applyBorder="1" applyAlignment="1">
      <alignment/>
    </xf>
    <xf numFmtId="8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4" xfId="0" applyFont="1" applyFill="1" applyBorder="1" applyAlignment="1" applyProtection="1">
      <alignment/>
      <protection locked="0"/>
    </xf>
    <xf numFmtId="166" fontId="11" fillId="0" borderId="14" xfId="42" applyNumberFormat="1" applyFont="1" applyFill="1" applyBorder="1" applyAlignment="1">
      <alignment horizontal="right"/>
    </xf>
    <xf numFmtId="181" fontId="11" fillId="0" borderId="0" xfId="42" applyNumberFormat="1" applyFont="1" applyFill="1" applyBorder="1" applyAlignment="1">
      <alignment horizontal="right"/>
    </xf>
    <xf numFmtId="6" fontId="11" fillId="0" borderId="0" xfId="42" applyNumberFormat="1" applyFont="1" applyFill="1" applyBorder="1" applyAlignment="1">
      <alignment horizontal="right"/>
    </xf>
    <xf numFmtId="6" fontId="11" fillId="0" borderId="14" xfId="42" applyNumberFormat="1" applyFont="1" applyFill="1" applyBorder="1" applyAlignment="1">
      <alignment horizontal="right"/>
    </xf>
    <xf numFmtId="168" fontId="11" fillId="0" borderId="9" xfId="64" applyNumberFormat="1" applyFont="1" applyBorder="1" applyAlignment="1">
      <alignment/>
    </xf>
    <xf numFmtId="168" fontId="11" fillId="0" borderId="0" xfId="64" applyNumberFormat="1" applyFont="1" applyBorder="1" applyAlignment="1">
      <alignment/>
    </xf>
    <xf numFmtId="171" fontId="11" fillId="0" borderId="0" xfId="42" applyNumberFormat="1" applyFont="1" applyAlignment="1">
      <alignment/>
    </xf>
    <xf numFmtId="166" fontId="12" fillId="0" borderId="14" xfId="42" applyNumberFormat="1" applyFont="1" applyFill="1" applyBorder="1" applyAlignment="1">
      <alignment horizontal="right"/>
    </xf>
    <xf numFmtId="181" fontId="12" fillId="0" borderId="0" xfId="42" applyNumberFormat="1" applyFont="1" applyFill="1" applyBorder="1" applyAlignment="1">
      <alignment horizontal="right"/>
    </xf>
    <xf numFmtId="6" fontId="12" fillId="0" borderId="0" xfId="42" applyNumberFormat="1" applyFont="1" applyFill="1" applyBorder="1" applyAlignment="1">
      <alignment horizontal="right"/>
    </xf>
    <xf numFmtId="6" fontId="12" fillId="0" borderId="14" xfId="42" applyNumberFormat="1" applyFont="1" applyFill="1" applyBorder="1" applyAlignment="1">
      <alignment horizontal="right"/>
    </xf>
    <xf numFmtId="168" fontId="12" fillId="0" borderId="9" xfId="64" applyNumberFormat="1" applyFont="1" applyBorder="1" applyAlignment="1">
      <alignment/>
    </xf>
    <xf numFmtId="168" fontId="12" fillId="0" borderId="0" xfId="64" applyNumberFormat="1" applyFont="1" applyBorder="1" applyAlignment="1">
      <alignment/>
    </xf>
    <xf numFmtId="0" fontId="12" fillId="0" borderId="0" xfId="0" applyFont="1" applyAlignment="1">
      <alignment/>
    </xf>
    <xf numFmtId="171" fontId="12" fillId="0" borderId="0" xfId="42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6" fontId="1" fillId="0" borderId="0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168" fontId="1" fillId="0" borderId="9" xfId="64" applyNumberFormat="1" applyFont="1" applyBorder="1" applyAlignment="1">
      <alignment horizontal="right"/>
    </xf>
    <xf numFmtId="182" fontId="0" fillId="0" borderId="0" xfId="42" applyNumberFormat="1" applyFont="1" applyAlignment="1">
      <alignment/>
    </xf>
    <xf numFmtId="168" fontId="8" fillId="0" borderId="9" xfId="64" applyNumberFormat="1" applyFont="1" applyBorder="1" applyAlignment="1">
      <alignment horizontal="right"/>
    </xf>
    <xf numFmtId="5" fontId="1" fillId="0" borderId="0" xfId="42" applyNumberFormat="1" applyFont="1" applyFill="1" applyBorder="1" applyAlignment="1">
      <alignment horizontal="right"/>
    </xf>
    <xf numFmtId="6" fontId="0" fillId="0" borderId="0" xfId="0" applyNumberFormat="1" applyAlignment="1">
      <alignment horizontal="right"/>
    </xf>
    <xf numFmtId="8" fontId="8" fillId="0" borderId="0" xfId="0" applyNumberFormat="1" applyFont="1" applyAlignment="1">
      <alignment/>
    </xf>
    <xf numFmtId="8" fontId="15" fillId="0" borderId="0" xfId="0" applyNumberFormat="1" applyFont="1" applyAlignment="1">
      <alignment/>
    </xf>
    <xf numFmtId="181" fontId="1" fillId="0" borderId="14" xfId="42" applyNumberFormat="1" applyFont="1" applyFill="1" applyBorder="1" applyAlignment="1">
      <alignment horizontal="right"/>
    </xf>
    <xf numFmtId="181" fontId="0" fillId="0" borderId="14" xfId="42" applyNumberFormat="1" applyFont="1" applyFill="1" applyBorder="1" applyAlignment="1">
      <alignment horizontal="right"/>
    </xf>
    <xf numFmtId="181" fontId="8" fillId="0" borderId="14" xfId="42" applyNumberFormat="1" applyFont="1" applyFill="1" applyBorder="1" applyAlignment="1">
      <alignment horizontal="right"/>
    </xf>
    <xf numFmtId="181" fontId="11" fillId="0" borderId="14" xfId="42" applyNumberFormat="1" applyFont="1" applyFill="1" applyBorder="1" applyAlignment="1">
      <alignment horizontal="right"/>
    </xf>
    <xf numFmtId="181" fontId="12" fillId="0" borderId="14" xfId="42" applyNumberFormat="1" applyFont="1" applyFill="1" applyBorder="1" applyAlignment="1">
      <alignment horizontal="right"/>
    </xf>
    <xf numFmtId="181" fontId="1" fillId="0" borderId="14" xfId="44" applyNumberFormat="1" applyFont="1" applyFill="1" applyBorder="1" applyAlignment="1">
      <alignment horizontal="right"/>
    </xf>
    <xf numFmtId="168" fontId="11" fillId="0" borderId="9" xfId="64" applyNumberFormat="1" applyFont="1" applyFill="1" applyBorder="1" applyAlignment="1">
      <alignment/>
    </xf>
    <xf numFmtId="168" fontId="12" fillId="0" borderId="9" xfId="64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6" fontId="8" fillId="0" borderId="14" xfId="42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10" fontId="1" fillId="34" borderId="18" xfId="0" applyNumberFormat="1" applyFont="1" applyFill="1" applyBorder="1" applyAlignment="1">
      <alignment/>
    </xf>
    <xf numFmtId="168" fontId="1" fillId="34" borderId="19" xfId="0" applyNumberFormat="1" applyFont="1" applyFill="1" applyBorder="1" applyAlignment="1">
      <alignment/>
    </xf>
    <xf numFmtId="171" fontId="1" fillId="0" borderId="0" xfId="42" applyNumberFormat="1" applyFont="1" applyAlignment="1">
      <alignment/>
    </xf>
    <xf numFmtId="0" fontId="1" fillId="0" borderId="18" xfId="0" applyFont="1" applyBorder="1" applyAlignment="1">
      <alignment horizontal="center" wrapText="1"/>
    </xf>
    <xf numFmtId="181" fontId="1" fillId="0" borderId="16" xfId="42" applyNumberFormat="1" applyFont="1" applyFill="1" applyBorder="1" applyAlignment="1">
      <alignment horizontal="right"/>
    </xf>
    <xf numFmtId="181" fontId="0" fillId="0" borderId="16" xfId="42" applyNumberFormat="1" applyFont="1" applyFill="1" applyBorder="1" applyAlignment="1">
      <alignment horizontal="right"/>
    </xf>
    <xf numFmtId="181" fontId="8" fillId="0" borderId="16" xfId="42" applyNumberFormat="1" applyFont="1" applyFill="1" applyBorder="1" applyAlignment="1">
      <alignment horizontal="right"/>
    </xf>
    <xf numFmtId="0" fontId="10" fillId="0" borderId="14" xfId="0" applyFont="1" applyBorder="1" applyAlignment="1" quotePrefix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181" fontId="11" fillId="0" borderId="16" xfId="42" applyNumberFormat="1" applyFont="1" applyFill="1" applyBorder="1" applyAlignment="1">
      <alignment horizontal="right"/>
    </xf>
    <xf numFmtId="181" fontId="12" fillId="0" borderId="16" xfId="42" applyNumberFormat="1" applyFont="1" applyFill="1" applyBorder="1" applyAlignment="1">
      <alignment horizontal="right"/>
    </xf>
    <xf numFmtId="181" fontId="1" fillId="0" borderId="16" xfId="44" applyNumberFormat="1" applyFont="1" applyFill="1" applyBorder="1" applyAlignment="1">
      <alignment horizontal="right"/>
    </xf>
    <xf numFmtId="37" fontId="0" fillId="0" borderId="20" xfId="0" applyNumberForma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9" xfId="0" applyFont="1" applyBorder="1" applyAlignment="1" quotePrefix="1">
      <alignment horizontal="center" wrapText="1"/>
    </xf>
    <xf numFmtId="6" fontId="8" fillId="0" borderId="9" xfId="42" applyNumberFormat="1" applyFont="1" applyFill="1" applyBorder="1" applyAlignment="1">
      <alignment horizontal="right"/>
    </xf>
    <xf numFmtId="37" fontId="0" fillId="0" borderId="11" xfId="0" applyNumberForma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81" fontId="8" fillId="0" borderId="0" xfId="42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0.140625" style="1" bestFit="1" customWidth="1"/>
    <col min="2" max="3" width="11.7109375" style="1" bestFit="1" customWidth="1"/>
    <col min="4" max="4" width="9.140625" style="1" customWidth="1"/>
    <col min="5" max="5" width="14.140625" style="1" customWidth="1"/>
    <col min="6" max="6" width="14.28125" style="1" customWidth="1"/>
    <col min="7" max="7" width="13.421875" style="1" bestFit="1" customWidth="1"/>
    <col min="8" max="8" width="9.140625" style="1" customWidth="1"/>
    <col min="9" max="9" width="14.421875" style="1" bestFit="1" customWidth="1"/>
    <col min="10" max="10" width="14.421875" style="1" customWidth="1"/>
    <col min="11" max="11" width="14.57421875" style="1" customWidth="1"/>
    <col min="12" max="16384" width="9.140625" style="1" customWidth="1"/>
  </cols>
  <sheetData>
    <row r="3" spans="1:11" s="15" customFormat="1" ht="18">
      <c r="A3" s="15" t="s">
        <v>20</v>
      </c>
      <c r="B3" s="170" t="s">
        <v>132</v>
      </c>
      <c r="C3" s="170"/>
      <c r="E3" s="169" t="s">
        <v>79</v>
      </c>
      <c r="F3" s="169"/>
      <c r="G3" s="169"/>
      <c r="I3" s="169" t="s">
        <v>84</v>
      </c>
      <c r="J3" s="169"/>
      <c r="K3" s="169"/>
    </row>
    <row r="4" spans="5:6" s="15" customFormat="1" ht="26.25" customHeight="1">
      <c r="E4" s="166" t="s">
        <v>80</v>
      </c>
      <c r="F4" s="166" t="s">
        <v>81</v>
      </c>
    </row>
    <row r="5" spans="1:11" ht="62.25" customHeight="1">
      <c r="A5" s="2"/>
      <c r="B5" s="122" t="s">
        <v>63</v>
      </c>
      <c r="C5" s="123" t="s">
        <v>64</v>
      </c>
      <c r="E5" s="123" t="s">
        <v>7</v>
      </c>
      <c r="F5" s="123" t="s">
        <v>7</v>
      </c>
      <c r="G5" s="123" t="s">
        <v>82</v>
      </c>
      <c r="I5" s="123" t="s">
        <v>85</v>
      </c>
      <c r="J5" s="123" t="s">
        <v>101</v>
      </c>
      <c r="K5" s="123" t="s">
        <v>86</v>
      </c>
    </row>
    <row r="6" ht="18" customHeight="1">
      <c r="A6" s="2" t="s">
        <v>21</v>
      </c>
    </row>
    <row r="7" spans="1:11" s="2" customFormat="1" ht="12.75">
      <c r="A7" s="6" t="s">
        <v>8</v>
      </c>
      <c r="B7" s="124">
        <v>15729855.39635859</v>
      </c>
      <c r="C7" s="124">
        <v>13940592.104265573</v>
      </c>
      <c r="E7" s="124">
        <v>588717083.202889</v>
      </c>
      <c r="F7" s="124">
        <v>656556742.5019921</v>
      </c>
      <c r="G7" s="124">
        <v>11528175.200903017</v>
      </c>
      <c r="H7" s="124"/>
      <c r="I7" s="124">
        <v>654440058.8531013</v>
      </c>
      <c r="J7" s="124">
        <v>623421598.8704519</v>
      </c>
      <c r="K7" s="124">
        <v>689767669.2582232</v>
      </c>
    </row>
    <row r="8" ht="6" customHeight="1">
      <c r="A8" s="3"/>
    </row>
    <row r="9" spans="1:11" ht="12.75">
      <c r="A9" s="27" t="s">
        <v>0</v>
      </c>
      <c r="B9" s="16">
        <v>836569.9890911216</v>
      </c>
      <c r="C9" s="16">
        <v>784960.1308079566</v>
      </c>
      <c r="E9" s="16">
        <v>31454191.894843403</v>
      </c>
      <c r="F9" s="16">
        <v>35078754.0530633</v>
      </c>
      <c r="G9" s="16">
        <v>663039.8340477052</v>
      </c>
      <c r="H9" s="16"/>
      <c r="I9" s="16">
        <v>34808029.3275076</v>
      </c>
      <c r="J9" s="16">
        <v>33148114.468964506</v>
      </c>
      <c r="K9" s="16">
        <v>36687016.53560616</v>
      </c>
    </row>
    <row r="10" spans="1:11" ht="12.75">
      <c r="A10" s="3" t="s">
        <v>9</v>
      </c>
      <c r="B10" s="16">
        <v>9236100.686004808</v>
      </c>
      <c r="C10" s="16">
        <v>9197988.818109112</v>
      </c>
      <c r="E10" s="16">
        <v>275984112.15196776</v>
      </c>
      <c r="F10" s="16">
        <v>307786600.43461645</v>
      </c>
      <c r="G10" s="16">
        <v>7640243.683163606</v>
      </c>
      <c r="H10" s="16"/>
      <c r="I10" s="16">
        <v>305474364.231228</v>
      </c>
      <c r="J10" s="16">
        <v>293286628.45813966</v>
      </c>
      <c r="K10" s="16">
        <v>321964307.32429814</v>
      </c>
    </row>
    <row r="11" spans="1:11" s="14" customFormat="1" ht="12.75">
      <c r="A11" s="28" t="s">
        <v>1</v>
      </c>
      <c r="B11" s="125">
        <v>1348849.6986629148</v>
      </c>
      <c r="C11" s="125">
        <v>1443409.955574371</v>
      </c>
      <c r="E11" s="125">
        <v>37795518.90171224</v>
      </c>
      <c r="F11" s="125">
        <v>42150811.44966321</v>
      </c>
      <c r="G11" s="125">
        <v>1341147.4854338877</v>
      </c>
      <c r="H11" s="125"/>
      <c r="I11" s="125">
        <v>41426211.24046265</v>
      </c>
      <c r="J11" s="125">
        <v>39770145.45750196</v>
      </c>
      <c r="K11" s="125">
        <v>43662457.37403231</v>
      </c>
    </row>
    <row r="12" spans="1:11" s="2" customFormat="1" ht="12.75">
      <c r="A12" s="6" t="s">
        <v>10</v>
      </c>
      <c r="B12" s="124">
        <f>SUM(B9:B11)</f>
        <v>11421520.373758845</v>
      </c>
      <c r="C12" s="124">
        <f>SUM(C9:C11)</f>
        <v>11426358.90449144</v>
      </c>
      <c r="E12" s="124">
        <f>SUM(E9:E11)</f>
        <v>345233822.9485234</v>
      </c>
      <c r="F12" s="124">
        <f>SUM(F9:F11)</f>
        <v>385016165.93734294</v>
      </c>
      <c r="G12" s="124">
        <f>SUM(G9:G11)</f>
        <v>9644431.002645198</v>
      </c>
      <c r="H12" s="124"/>
      <c r="I12" s="124">
        <f>SUM(I9:I11)</f>
        <v>381708604.79919827</v>
      </c>
      <c r="J12" s="124">
        <f>SUM(J9:J11)</f>
        <v>366204888.3846061</v>
      </c>
      <c r="K12" s="124">
        <f>SUM(K9:K11)</f>
        <v>402313781.2339366</v>
      </c>
    </row>
    <row r="13" ht="5.25" customHeight="1">
      <c r="A13" s="3"/>
    </row>
    <row r="14" spans="1:11" ht="12.75">
      <c r="A14" s="3" t="s">
        <v>2</v>
      </c>
      <c r="B14" s="16">
        <v>834756.6549771931</v>
      </c>
      <c r="C14" s="16">
        <v>876178.2414095479</v>
      </c>
      <c r="E14" s="16">
        <v>28459581.73596959</v>
      </c>
      <c r="F14" s="16">
        <v>31739065.86145026</v>
      </c>
      <c r="G14" s="16">
        <v>827566.6761845871</v>
      </c>
      <c r="H14" s="16"/>
      <c r="I14" s="16">
        <v>31779026.180414997</v>
      </c>
      <c r="J14" s="16">
        <v>30276492.807086613</v>
      </c>
      <c r="K14" s="16">
        <v>33494503.46633076</v>
      </c>
    </row>
    <row r="15" spans="1:11" ht="12.75">
      <c r="A15" s="3" t="s">
        <v>3</v>
      </c>
      <c r="B15" s="16">
        <v>1569891.0792160828</v>
      </c>
      <c r="C15" s="16">
        <v>1659488.167918161</v>
      </c>
      <c r="E15" s="16">
        <v>47959530.119432814</v>
      </c>
      <c r="F15" s="16">
        <v>53486052.580351666</v>
      </c>
      <c r="G15" s="16">
        <v>1564646.3316729537</v>
      </c>
      <c r="H15" s="16"/>
      <c r="I15" s="16">
        <v>54358393.10344561</v>
      </c>
      <c r="J15" s="16">
        <v>51945620.315645605</v>
      </c>
      <c r="K15" s="16">
        <v>57292736.910535276</v>
      </c>
    </row>
    <row r="16" spans="1:11" ht="12.75">
      <c r="A16" s="3" t="s">
        <v>70</v>
      </c>
      <c r="B16" s="16">
        <v>721582.606791599</v>
      </c>
      <c r="C16" s="16">
        <v>796880.0733422372</v>
      </c>
      <c r="E16" s="16">
        <v>18598529.043499067</v>
      </c>
      <c r="F16" s="16">
        <v>20592921.824057747</v>
      </c>
      <c r="G16" s="16">
        <f>G18*0.244</f>
        <v>747144.0117227418</v>
      </c>
      <c r="H16" s="16"/>
      <c r="I16" s="16">
        <v>20861588.385980446</v>
      </c>
      <c r="J16" s="16">
        <v>20121151.526257418</v>
      </c>
      <c r="K16" s="16">
        <v>21922990.001528993</v>
      </c>
    </row>
    <row r="17" spans="1:11" ht="12.75">
      <c r="A17" s="3" t="s">
        <v>71</v>
      </c>
      <c r="B17" s="16">
        <v>2153715.374189236</v>
      </c>
      <c r="C17" s="16">
        <v>2378456.53316571</v>
      </c>
      <c r="E17" s="16">
        <v>55222022.54854539</v>
      </c>
      <c r="F17" s="16">
        <v>61734196.35516739</v>
      </c>
      <c r="G17" s="16">
        <f>G18-G16</f>
        <v>2314921.610091774</v>
      </c>
      <c r="H17" s="16"/>
      <c r="I17" s="16">
        <v>61510900.05910061</v>
      </c>
      <c r="J17" s="16">
        <v>59131221.26493932</v>
      </c>
      <c r="K17" s="16">
        <v>64921417.519785345</v>
      </c>
    </row>
    <row r="18" spans="1:11" ht="12.75">
      <c r="A18" s="3" t="s">
        <v>73</v>
      </c>
      <c r="B18" s="16">
        <v>2875297.980980835</v>
      </c>
      <c r="C18" s="16">
        <v>3175336.606507947</v>
      </c>
      <c r="E18" s="16">
        <f>E16+E17</f>
        <v>73820551.59204446</v>
      </c>
      <c r="F18" s="16">
        <f>F16+F17</f>
        <v>82327118.17922513</v>
      </c>
      <c r="G18" s="16">
        <v>3062065.6218145154</v>
      </c>
      <c r="H18" s="16"/>
      <c r="I18" s="16">
        <f>I16+I17</f>
        <v>82372488.44508106</v>
      </c>
      <c r="J18" s="16">
        <f>J16+J17</f>
        <v>79252372.79119673</v>
      </c>
      <c r="K18" s="16">
        <f>K16+K17</f>
        <v>86844407.52131434</v>
      </c>
    </row>
    <row r="19" spans="1:11" s="14" customFormat="1" ht="12.75">
      <c r="A19" s="28" t="s">
        <v>14</v>
      </c>
      <c r="B19" s="125">
        <v>1205161.4435980022</v>
      </c>
      <c r="C19" s="125">
        <v>1671341.6874906193</v>
      </c>
      <c r="E19" s="125">
        <v>0</v>
      </c>
      <c r="F19" s="125">
        <v>0</v>
      </c>
      <c r="G19" s="125">
        <v>0</v>
      </c>
      <c r="H19" s="125"/>
      <c r="I19" s="125">
        <v>0</v>
      </c>
      <c r="J19" s="125"/>
      <c r="K19" s="125">
        <v>0</v>
      </c>
    </row>
    <row r="20" spans="1:11" s="2" customFormat="1" ht="12.75">
      <c r="A20" s="6" t="s">
        <v>11</v>
      </c>
      <c r="B20" s="124">
        <f>B14+B15+B18+B19</f>
        <v>6485107.158772113</v>
      </c>
      <c r="C20" s="124">
        <f>C14+C15+C18+C19</f>
        <v>7382344.703326276</v>
      </c>
      <c r="E20" s="124">
        <f>E14+E15+E18+E19</f>
        <v>150239663.44744688</v>
      </c>
      <c r="F20" s="124">
        <f>F14+F15+F18+F19</f>
        <v>167552236.62102705</v>
      </c>
      <c r="G20" s="124">
        <f>G14+G15+G18+G19</f>
        <v>5454278.629672056</v>
      </c>
      <c r="H20" s="124"/>
      <c r="I20" s="124">
        <f>I14+I15+I18+I19</f>
        <v>168509907.72894168</v>
      </c>
      <c r="J20" s="124">
        <f>J14+J15+J18+J19</f>
        <v>161474485.91392896</v>
      </c>
      <c r="K20" s="124">
        <f>K14+K15+K18+K19</f>
        <v>177631647.89818037</v>
      </c>
    </row>
    <row r="21" ht="6" customHeight="1">
      <c r="A21" s="3"/>
    </row>
    <row r="22" spans="1:11" ht="12.75">
      <c r="A22" s="3" t="s">
        <v>4</v>
      </c>
      <c r="B22" s="16">
        <v>665962.5200624219</v>
      </c>
      <c r="C22" s="16">
        <v>716471.6016251052</v>
      </c>
      <c r="E22" s="16">
        <v>18286843.02137324</v>
      </c>
      <c r="F22" s="16">
        <v>20394091.537887927</v>
      </c>
      <c r="G22" s="16">
        <v>525575.388646511</v>
      </c>
      <c r="H22" s="16"/>
      <c r="I22" s="16">
        <v>20382351.92009867</v>
      </c>
      <c r="J22" s="16">
        <v>19730300.226313043</v>
      </c>
      <c r="K22" s="16">
        <v>21482620.429082107</v>
      </c>
    </row>
    <row r="23" spans="1:11" s="14" customFormat="1" ht="12.75">
      <c r="A23" s="28" t="s">
        <v>5</v>
      </c>
      <c r="B23" s="125">
        <v>365351.43850175396</v>
      </c>
      <c r="C23" s="125">
        <v>422941.0808745685</v>
      </c>
      <c r="E23" s="125">
        <v>22338108.07722</v>
      </c>
      <c r="F23" s="125">
        <v>24633382.395468466</v>
      </c>
      <c r="G23" s="125">
        <v>403570.4509134289</v>
      </c>
      <c r="H23" s="125"/>
      <c r="I23" s="125">
        <v>23080853.380200006</v>
      </c>
      <c r="J23" s="125">
        <v>21940357.7646</v>
      </c>
      <c r="K23" s="125">
        <v>23989268.73110948</v>
      </c>
    </row>
    <row r="24" spans="1:11" s="2" customFormat="1" ht="12.75">
      <c r="A24" s="6" t="s">
        <v>23</v>
      </c>
      <c r="B24" s="124">
        <f>SUM(B22:B23)</f>
        <v>1031313.9585641759</v>
      </c>
      <c r="C24" s="124">
        <f>SUM(C22:C23)</f>
        <v>1139412.6824996737</v>
      </c>
      <c r="E24" s="124">
        <f>E22+E23</f>
        <v>40624951.098593235</v>
      </c>
      <c r="F24" s="124">
        <f>F22+F23</f>
        <v>45027473.93335639</v>
      </c>
      <c r="G24" s="124">
        <f>SUM(G22:G23)</f>
        <v>929145.8395599399</v>
      </c>
      <c r="H24" s="124"/>
      <c r="I24" s="124">
        <f>I22+I23</f>
        <v>43463205.300298676</v>
      </c>
      <c r="J24" s="124">
        <f>J22+J23</f>
        <v>41670657.99091305</v>
      </c>
      <c r="K24" s="124">
        <f>K22+K23</f>
        <v>45471889.16019159</v>
      </c>
    </row>
    <row r="25" ht="6" customHeight="1">
      <c r="A25" s="3"/>
    </row>
    <row r="26" spans="1:11" s="2" customFormat="1" ht="12.75">
      <c r="A26" s="31" t="s">
        <v>25</v>
      </c>
      <c r="B26" s="124">
        <f>B7+B12+B20+B24</f>
        <v>34667796.88745373</v>
      </c>
      <c r="C26" s="124">
        <f>C7+C12+C20+C24</f>
        <v>33888708.394582964</v>
      </c>
      <c r="E26" s="124">
        <f>E7+E12+E20+E24</f>
        <v>1124815520.6974525</v>
      </c>
      <c r="F26" s="124">
        <f>F7+F12+F20+F24</f>
        <v>1254152618.9937184</v>
      </c>
      <c r="G26" s="124">
        <f>G7+G12+G20+G24</f>
        <v>27556030.672780212</v>
      </c>
      <c r="H26" s="124"/>
      <c r="I26" s="124">
        <f>I7+I12+I20+I24</f>
        <v>1248121776.68154</v>
      </c>
      <c r="J26" s="124">
        <f>J7+J12+J20+J24</f>
        <v>1192771631.1599002</v>
      </c>
      <c r="K26" s="124">
        <f>K7+K12+K20+K24</f>
        <v>1315184987.5505319</v>
      </c>
    </row>
    <row r="27" s="26" customFormat="1" ht="8.25" customHeight="1">
      <c r="A27" s="3"/>
    </row>
    <row r="28" s="26" customFormat="1" ht="14.25" customHeight="1">
      <c r="A28" s="6" t="s">
        <v>22</v>
      </c>
    </row>
    <row r="29" spans="1:11" s="26" customFormat="1" ht="12.75">
      <c r="A29" s="3" t="s">
        <v>6</v>
      </c>
      <c r="B29" s="25">
        <v>0</v>
      </c>
      <c r="C29" s="25">
        <v>0</v>
      </c>
      <c r="E29" s="25">
        <v>1094660</v>
      </c>
      <c r="F29" s="25">
        <v>1094660</v>
      </c>
      <c r="G29" s="25"/>
      <c r="H29" s="25"/>
      <c r="I29" s="25">
        <v>1071642</v>
      </c>
      <c r="J29" s="25">
        <v>1071642</v>
      </c>
      <c r="K29" s="25">
        <v>1071642</v>
      </c>
    </row>
    <row r="30" s="26" customFormat="1" ht="12.75">
      <c r="A30" s="3" t="s">
        <v>36</v>
      </c>
    </row>
    <row r="31" spans="1:11" s="26" customFormat="1" ht="12.75">
      <c r="A31" s="29" t="s">
        <v>12</v>
      </c>
      <c r="B31" s="25">
        <v>0</v>
      </c>
      <c r="C31" s="25">
        <v>419450.54009040515</v>
      </c>
      <c r="E31" s="25">
        <v>10282532</v>
      </c>
      <c r="F31" s="25">
        <v>10282532</v>
      </c>
      <c r="G31" s="25">
        <v>290428.52609767375</v>
      </c>
      <c r="H31" s="25"/>
      <c r="I31" s="25">
        <v>10241381</v>
      </c>
      <c r="J31" s="25">
        <v>10241381</v>
      </c>
      <c r="K31" s="25">
        <v>10241381</v>
      </c>
    </row>
    <row r="32" spans="1:11" s="26" customFormat="1" ht="12.75">
      <c r="A32" s="29" t="s">
        <v>13</v>
      </c>
      <c r="B32" s="25">
        <v>0</v>
      </c>
      <c r="C32" s="25">
        <v>0</v>
      </c>
      <c r="E32" s="25">
        <v>9934827</v>
      </c>
      <c r="F32" s="25">
        <v>9934827</v>
      </c>
      <c r="G32" s="25"/>
      <c r="H32" s="25"/>
      <c r="I32" s="25">
        <v>9782311</v>
      </c>
      <c r="J32" s="25">
        <v>9782311</v>
      </c>
      <c r="K32" s="25">
        <v>9782311</v>
      </c>
    </row>
    <row r="33" spans="1:11" s="32" customFormat="1" ht="12.75">
      <c r="A33" s="30" t="s">
        <v>78</v>
      </c>
      <c r="B33" s="126"/>
      <c r="C33" s="126"/>
      <c r="E33" s="126">
        <v>21183202</v>
      </c>
      <c r="F33" s="126">
        <v>21183202</v>
      </c>
      <c r="G33" s="126">
        <v>1330573.3497849514</v>
      </c>
      <c r="H33" s="126"/>
      <c r="I33" s="126">
        <v>21856349</v>
      </c>
      <c r="J33" s="126">
        <v>21856349</v>
      </c>
      <c r="K33" s="126">
        <v>21856349</v>
      </c>
    </row>
    <row r="34" spans="1:11" s="2" customFormat="1" ht="12.75">
      <c r="A34" s="31" t="s">
        <v>26</v>
      </c>
      <c r="B34" s="124">
        <f>SUM(B29:B32)</f>
        <v>0</v>
      </c>
      <c r="C34" s="124">
        <f>SUM(C29:C32)</f>
        <v>419450.54009040515</v>
      </c>
      <c r="E34" s="124">
        <f>SUM(E29:E33)</f>
        <v>42495221</v>
      </c>
      <c r="F34" s="124">
        <f>SUM(F29:F33)</f>
        <v>42495221</v>
      </c>
      <c r="G34" s="124">
        <f>SUM(G29:G33)</f>
        <v>1621001.875882625</v>
      </c>
      <c r="H34" s="124"/>
      <c r="I34" s="124">
        <f>SUM(I29:I33)</f>
        <v>42951683</v>
      </c>
      <c r="J34" s="124">
        <f>SUM(J29:J33)</f>
        <v>42951683</v>
      </c>
      <c r="K34" s="124">
        <f>SUM(K29:K33)</f>
        <v>42951683</v>
      </c>
    </row>
    <row r="35" s="2" customFormat="1" ht="12.75">
      <c r="A35" s="31"/>
    </row>
    <row r="36" spans="1:11" s="2" customFormat="1" ht="12.75">
      <c r="A36" s="31" t="s">
        <v>44</v>
      </c>
      <c r="B36" s="124">
        <v>0</v>
      </c>
      <c r="C36" s="124">
        <v>0</v>
      </c>
      <c r="E36" s="124">
        <v>1565170</v>
      </c>
      <c r="F36" s="124">
        <v>1962838.6943564923</v>
      </c>
      <c r="G36" s="124">
        <v>0</v>
      </c>
      <c r="H36" s="124"/>
      <c r="I36" s="124">
        <v>4259866</v>
      </c>
      <c r="J36" s="124">
        <v>3498726</v>
      </c>
      <c r="K36" s="124">
        <v>4340815.390551678</v>
      </c>
    </row>
    <row r="37" s="2" customFormat="1" ht="12.75">
      <c r="A37" s="31" t="s">
        <v>45</v>
      </c>
    </row>
    <row r="38" spans="1:11" s="2" customFormat="1" ht="12.75">
      <c r="A38" s="31" t="s">
        <v>46</v>
      </c>
      <c r="B38" s="124">
        <f>B36+B37</f>
        <v>0</v>
      </c>
      <c r="C38" s="124">
        <f>C36+C37</f>
        <v>0</v>
      </c>
      <c r="E38" s="124">
        <f>E36+E37</f>
        <v>1565170</v>
      </c>
      <c r="F38" s="124">
        <f>F36+F37</f>
        <v>1962838.6943564923</v>
      </c>
      <c r="G38" s="124">
        <f>G36+G37</f>
        <v>0</v>
      </c>
      <c r="H38" s="124"/>
      <c r="I38" s="124">
        <f>I36+I37</f>
        <v>4259866</v>
      </c>
      <c r="J38" s="124">
        <f>J36+J37</f>
        <v>3498726</v>
      </c>
      <c r="K38" s="124">
        <f>K36+K37</f>
        <v>4340815.390551678</v>
      </c>
    </row>
    <row r="39" s="26" customFormat="1" ht="6.75" customHeight="1">
      <c r="A39" s="3"/>
    </row>
    <row r="40" spans="1:11" s="2" customFormat="1" ht="12.75">
      <c r="A40" s="6" t="s">
        <v>15</v>
      </c>
      <c r="B40" s="18">
        <f>+B26+B34+B38</f>
        <v>34667796.88745373</v>
      </c>
      <c r="C40" s="18">
        <f>+C26+C34+C38</f>
        <v>34308158.93467337</v>
      </c>
      <c r="E40" s="18">
        <f>+E26+E34+E38</f>
        <v>1168875911.6974525</v>
      </c>
      <c r="F40" s="18">
        <f>+F26+F34+F38</f>
        <v>1298610678.6880748</v>
      </c>
      <c r="G40" s="18">
        <f>G26+G34+G38</f>
        <v>29177032.548662838</v>
      </c>
      <c r="H40" s="18"/>
      <c r="I40" s="18">
        <f>+I26+I34+I38</f>
        <v>1295333325.68154</v>
      </c>
      <c r="J40" s="18">
        <f>+J26+J34+J38</f>
        <v>1239222040.1599002</v>
      </c>
      <c r="K40" s="18">
        <f>+K26+K34+K38</f>
        <v>1362477485.9410834</v>
      </c>
    </row>
    <row r="41" s="26" customFormat="1" ht="7.5" customHeight="1">
      <c r="A41" s="3"/>
    </row>
    <row r="42" spans="1:11" s="26" customFormat="1" ht="12.75">
      <c r="A42" s="26" t="s">
        <v>16</v>
      </c>
      <c r="B42" s="25">
        <v>0</v>
      </c>
      <c r="C42" s="25">
        <v>0</v>
      </c>
      <c r="E42" s="25">
        <v>1806823</v>
      </c>
      <c r="F42" s="25">
        <v>1806823</v>
      </c>
      <c r="G42" s="25">
        <v>0</v>
      </c>
      <c r="H42" s="25"/>
      <c r="I42" s="25">
        <v>1943419</v>
      </c>
      <c r="J42" s="25">
        <v>1943419</v>
      </c>
      <c r="K42" s="25">
        <v>1943419</v>
      </c>
    </row>
    <row r="43" s="26" customFormat="1" ht="6.75" customHeight="1"/>
    <row r="44" spans="1:11" s="2" customFormat="1" ht="12.75">
      <c r="A44" s="2" t="s">
        <v>17</v>
      </c>
      <c r="B44" s="124">
        <f>B40+B42</f>
        <v>34667796.88745373</v>
      </c>
      <c r="C44" s="124">
        <f>C40+C42</f>
        <v>34308158.93467337</v>
      </c>
      <c r="E44" s="124">
        <f>E40+E42</f>
        <v>1170682734.6974525</v>
      </c>
      <c r="F44" s="124">
        <f>F40+F42</f>
        <v>1300417501.6880748</v>
      </c>
      <c r="G44" s="124">
        <f>G40+G42</f>
        <v>29177032.548662838</v>
      </c>
      <c r="H44" s="124"/>
      <c r="I44" s="124">
        <f>I40+I42</f>
        <v>1297276744.68154</v>
      </c>
      <c r="J44" s="124">
        <f>J40+J42</f>
        <v>1241165459.1599002</v>
      </c>
      <c r="K44" s="124">
        <f>K40+K42</f>
        <v>1364420904.9410834</v>
      </c>
    </row>
    <row r="45" s="26" customFormat="1" ht="6.75" customHeight="1"/>
    <row r="46" s="26" customFormat="1" ht="12.75">
      <c r="A46" s="2" t="s">
        <v>18</v>
      </c>
    </row>
    <row r="47" spans="1:11" s="26" customFormat="1" ht="12.75">
      <c r="A47" s="26" t="s">
        <v>40</v>
      </c>
      <c r="B47" s="25">
        <v>0</v>
      </c>
      <c r="C47" s="25">
        <v>0</v>
      </c>
      <c r="E47" s="25">
        <v>21959248.80253</v>
      </c>
      <c r="F47" s="25">
        <v>22582498.31192314</v>
      </c>
      <c r="G47" s="25">
        <v>0</v>
      </c>
      <c r="H47" s="25"/>
      <c r="I47" s="25">
        <v>23145757.17</v>
      </c>
      <c r="J47" s="25">
        <v>22871176.99827166</v>
      </c>
      <c r="K47" s="25">
        <v>23479095.05891397</v>
      </c>
    </row>
    <row r="48" s="26" customFormat="1" ht="12.75">
      <c r="A48" s="3" t="s">
        <v>41</v>
      </c>
    </row>
    <row r="49" spans="1:11" s="26" customFormat="1" ht="12.75">
      <c r="A49" s="3" t="s">
        <v>42</v>
      </c>
      <c r="B49" s="25">
        <f>SUM(B47:B48)</f>
        <v>0</v>
      </c>
      <c r="C49" s="25">
        <f>SUM(C47:C48)</f>
        <v>0</v>
      </c>
      <c r="E49" s="25">
        <f>SUM(E47:E48)</f>
        <v>21959248.80253</v>
      </c>
      <c r="F49" s="25">
        <f>SUM(F47:F48)</f>
        <v>22582498.31192314</v>
      </c>
      <c r="G49" s="25">
        <f>SUM(G47:G48)</f>
        <v>0</v>
      </c>
      <c r="H49" s="25"/>
      <c r="I49" s="25">
        <f>SUM(I47:I48)</f>
        <v>23145757.17</v>
      </c>
      <c r="J49" s="25">
        <f>SUM(J47:J48)</f>
        <v>22871176.99827166</v>
      </c>
      <c r="K49" s="25">
        <f>SUM(K47:K48)</f>
        <v>23479095.05891397</v>
      </c>
    </row>
    <row r="50" s="26" customFormat="1" ht="12.75"/>
    <row r="51" spans="1:11" s="2" customFormat="1" ht="25.5">
      <c r="A51" s="13" t="s">
        <v>19</v>
      </c>
      <c r="B51" s="124">
        <f>B44+B49</f>
        <v>34667796.88745373</v>
      </c>
      <c r="C51" s="124">
        <f>C44+C49</f>
        <v>34308158.93467337</v>
      </c>
      <c r="E51" s="124">
        <f>E44+E49</f>
        <v>1192641983.4999826</v>
      </c>
      <c r="F51" s="124">
        <f>F44+F49</f>
        <v>1322999999.9999979</v>
      </c>
      <c r="G51" s="124">
        <f>G44+G49</f>
        <v>29177032.548662838</v>
      </c>
      <c r="H51" s="124"/>
      <c r="I51" s="124">
        <f>I44+I49</f>
        <v>1320422501.85154</v>
      </c>
      <c r="J51" s="124">
        <f>J44+J49</f>
        <v>1264036636.158172</v>
      </c>
      <c r="K51" s="124">
        <f>K44+K49</f>
        <v>1387899999.9999974</v>
      </c>
    </row>
    <row r="52" s="26" customFormat="1" ht="12.75"/>
    <row r="53" s="2" customFormat="1" ht="12.75">
      <c r="A53" s="2" t="s">
        <v>24</v>
      </c>
    </row>
    <row r="54" ht="5.25" customHeight="1">
      <c r="A54" s="3"/>
    </row>
    <row r="55" ht="12.75">
      <c r="A55" s="4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7"/>
    </row>
    <row r="68" ht="12.75">
      <c r="A68" s="7"/>
    </row>
    <row r="69" ht="12.75">
      <c r="A69" s="5"/>
    </row>
    <row r="70" ht="12.75">
      <c r="A70" s="5"/>
    </row>
    <row r="71" ht="12.75">
      <c r="A71" s="5"/>
    </row>
    <row r="73" ht="12.75">
      <c r="A73" s="5"/>
    </row>
  </sheetData>
  <sheetProtection/>
  <mergeCells count="3">
    <mergeCell ref="E3:G3"/>
    <mergeCell ref="I3:K3"/>
    <mergeCell ref="B3:C3"/>
  </mergeCells>
  <printOptions/>
  <pageMargins left="0.75" right="0.75" top="1" bottom="1" header="0.5" footer="0.5"/>
  <pageSetup horizontalDpi="600" verticalDpi="600" orientation="landscape" paperSize="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bestFit="1" customWidth="1"/>
    <col min="4" max="4" width="16.421875" style="0" bestFit="1" customWidth="1"/>
    <col min="5" max="5" width="9.7109375" style="0" customWidth="1"/>
    <col min="6" max="6" width="12.7109375" style="0" bestFit="1" customWidth="1"/>
    <col min="7" max="7" width="17.00390625" style="0" bestFit="1" customWidth="1"/>
    <col min="8" max="9" width="14.421875" style="0" bestFit="1" customWidth="1"/>
    <col min="10" max="10" width="10.57421875" style="0" customWidth="1"/>
    <col min="11" max="11" width="7.8515625" style="0" customWidth="1"/>
    <col min="12" max="12" width="11.7109375" style="0" bestFit="1" customWidth="1"/>
    <col min="13" max="13" width="12.28125" style="0" bestFit="1" customWidth="1"/>
    <col min="14" max="14" width="9.7109375" style="0" bestFit="1" customWidth="1"/>
    <col min="15" max="15" width="14.421875" style="0" bestFit="1" customWidth="1"/>
    <col min="16" max="16" width="11.7109375" style="0" customWidth="1"/>
    <col min="17" max="17" width="12.28125" style="0" bestFit="1" customWidth="1"/>
    <col min="18" max="18" width="9.57421875" style="0" bestFit="1" customWidth="1"/>
    <col min="19" max="20" width="14.421875" style="0" bestFit="1" customWidth="1"/>
    <col min="21" max="21" width="8.7109375" style="0" bestFit="1" customWidth="1"/>
  </cols>
  <sheetData>
    <row r="1" ht="32.25" customHeight="1"/>
    <row r="2" spans="2:21" ht="18">
      <c r="B2" s="177" t="s">
        <v>91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65.25" customHeight="1">
      <c r="A3">
        <v>1</v>
      </c>
      <c r="B3" s="53" t="s">
        <v>20</v>
      </c>
      <c r="C3" s="72" t="s">
        <v>87</v>
      </c>
      <c r="D3" s="73" t="s">
        <v>88</v>
      </c>
      <c r="E3" s="73" t="s">
        <v>96</v>
      </c>
      <c r="F3" s="73" t="s">
        <v>89</v>
      </c>
      <c r="G3" s="73" t="s">
        <v>90</v>
      </c>
      <c r="H3" s="174" t="s">
        <v>92</v>
      </c>
      <c r="I3" s="175"/>
      <c r="J3" s="176"/>
      <c r="K3" s="174" t="s">
        <v>38</v>
      </c>
      <c r="L3" s="175"/>
      <c r="M3" s="175"/>
      <c r="N3" s="176"/>
      <c r="O3" s="171" t="s">
        <v>39</v>
      </c>
      <c r="P3" s="172"/>
      <c r="Q3" s="172"/>
      <c r="R3" s="173"/>
      <c r="S3" s="171" t="s">
        <v>98</v>
      </c>
      <c r="T3" s="172"/>
      <c r="U3" s="173"/>
    </row>
    <row r="4" spans="1:21" ht="20.25">
      <c r="A4">
        <f>A3+1</f>
        <v>2</v>
      </c>
      <c r="B4" s="101" t="s">
        <v>66</v>
      </c>
      <c r="C4" s="101" t="s">
        <v>27</v>
      </c>
      <c r="D4" s="102" t="s">
        <v>31</v>
      </c>
      <c r="E4" s="102" t="s">
        <v>28</v>
      </c>
      <c r="F4" s="102" t="s">
        <v>29</v>
      </c>
      <c r="G4" s="121" t="s">
        <v>30</v>
      </c>
      <c r="H4" s="101" t="s">
        <v>52</v>
      </c>
      <c r="I4" s="102" t="s">
        <v>53</v>
      </c>
      <c r="J4" s="103" t="s">
        <v>67</v>
      </c>
      <c r="K4" s="101" t="s">
        <v>54</v>
      </c>
      <c r="L4" s="102" t="s">
        <v>60</v>
      </c>
      <c r="M4" s="102" t="s">
        <v>61</v>
      </c>
      <c r="N4" s="103" t="s">
        <v>68</v>
      </c>
      <c r="O4" s="101" t="s">
        <v>55</v>
      </c>
      <c r="P4" s="102" t="s">
        <v>56</v>
      </c>
      <c r="Q4" s="102" t="s">
        <v>57</v>
      </c>
      <c r="R4" s="103" t="s">
        <v>58</v>
      </c>
      <c r="S4" s="101" t="s">
        <v>59</v>
      </c>
      <c r="T4" s="102" t="s">
        <v>69</v>
      </c>
      <c r="U4" s="103" t="s">
        <v>62</v>
      </c>
    </row>
    <row r="5" spans="1:21" ht="63.75">
      <c r="A5">
        <f aca="true" t="shared" si="0" ref="A5:A49">A4+1</f>
        <v>3</v>
      </c>
      <c r="B5" s="58"/>
      <c r="C5" s="59"/>
      <c r="D5" s="69"/>
      <c r="E5" s="69"/>
      <c r="F5" s="69"/>
      <c r="G5" s="69"/>
      <c r="H5" s="75" t="s">
        <v>32</v>
      </c>
      <c r="I5" s="76" t="s">
        <v>34</v>
      </c>
      <c r="J5" s="77" t="s">
        <v>51</v>
      </c>
      <c r="K5" s="79" t="s">
        <v>76</v>
      </c>
      <c r="L5" s="78" t="s">
        <v>97</v>
      </c>
      <c r="M5" s="78" t="s">
        <v>33</v>
      </c>
      <c r="N5" s="77" t="s">
        <v>51</v>
      </c>
      <c r="O5" s="79" t="s">
        <v>76</v>
      </c>
      <c r="P5" s="78" t="s">
        <v>97</v>
      </c>
      <c r="Q5" s="78" t="s">
        <v>33</v>
      </c>
      <c r="R5" s="77" t="s">
        <v>51</v>
      </c>
      <c r="S5" s="79" t="s">
        <v>32</v>
      </c>
      <c r="T5" s="80" t="s">
        <v>33</v>
      </c>
      <c r="U5" s="77" t="s">
        <v>51</v>
      </c>
    </row>
    <row r="6" spans="1:21" ht="12.75">
      <c r="A6">
        <f t="shared" si="0"/>
        <v>4</v>
      </c>
      <c r="B6" s="37" t="s">
        <v>21</v>
      </c>
      <c r="C6" s="12"/>
      <c r="D6" s="11"/>
      <c r="E6" s="11"/>
      <c r="F6" s="70"/>
      <c r="G6" s="11"/>
      <c r="H6" s="33"/>
      <c r="I6" s="1"/>
      <c r="J6" s="34"/>
      <c r="K6" s="68"/>
      <c r="L6" s="1"/>
      <c r="M6" s="1"/>
      <c r="N6" s="86"/>
      <c r="O6" s="33"/>
      <c r="P6" s="1"/>
      <c r="Q6" s="1"/>
      <c r="R6" s="34"/>
      <c r="S6" s="35"/>
      <c r="T6" s="16"/>
      <c r="U6" s="34"/>
    </row>
    <row r="7" spans="1:22" ht="12.75">
      <c r="A7">
        <f t="shared" si="0"/>
        <v>5</v>
      </c>
      <c r="B7" s="38" t="s">
        <v>8</v>
      </c>
      <c r="C7" s="17">
        <v>4257.229617</v>
      </c>
      <c r="D7" s="87">
        <f>database!I7</f>
        <v>654440058.8531013</v>
      </c>
      <c r="E7" s="87">
        <v>0</v>
      </c>
      <c r="F7" s="87">
        <f>database!G7</f>
        <v>11528175.200903017</v>
      </c>
      <c r="G7" s="87">
        <f>D7+E7+F7</f>
        <v>665968234.0540043</v>
      </c>
      <c r="H7" s="44">
        <f>database!K7</f>
        <v>689767669.2582232</v>
      </c>
      <c r="I7" s="18">
        <f>+H7-D7</f>
        <v>35327610.40512192</v>
      </c>
      <c r="J7" s="48">
        <f>+I7/G7</f>
        <v>0.05304699022965284</v>
      </c>
      <c r="K7" s="44">
        <f>E7</f>
        <v>0</v>
      </c>
      <c r="L7" s="18">
        <v>0</v>
      </c>
      <c r="M7" s="18">
        <f>L7-K7</f>
        <v>0</v>
      </c>
      <c r="N7" s="48">
        <f>M7/G7</f>
        <v>0</v>
      </c>
      <c r="O7" s="44">
        <f>F7</f>
        <v>11528175.200903017</v>
      </c>
      <c r="P7" s="18">
        <v>0</v>
      </c>
      <c r="Q7" s="18">
        <f>P7-O7</f>
        <v>-11528175.200903017</v>
      </c>
      <c r="R7" s="48">
        <f>+Q7/G7</f>
        <v>-0.017310398021128708</v>
      </c>
      <c r="S7" s="44">
        <f>+H7+L7+P7</f>
        <v>689767669.2582232</v>
      </c>
      <c r="T7" s="18">
        <f>S7-G7</f>
        <v>23799435.204218864</v>
      </c>
      <c r="U7" s="48">
        <f>T7/G7</f>
        <v>0.03573659220852407</v>
      </c>
      <c r="V7" s="85"/>
    </row>
    <row r="8" spans="1:21" ht="12.75">
      <c r="A8">
        <f t="shared" si="0"/>
        <v>6</v>
      </c>
      <c r="B8" s="39"/>
      <c r="C8" s="19"/>
      <c r="D8" s="88"/>
      <c r="E8" s="88"/>
      <c r="F8" s="88"/>
      <c r="G8" s="88"/>
      <c r="H8" s="45"/>
      <c r="I8" s="20"/>
      <c r="J8" s="63"/>
      <c r="K8" s="45"/>
      <c r="L8" s="20"/>
      <c r="M8" s="20"/>
      <c r="N8" s="63"/>
      <c r="O8" s="45"/>
      <c r="P8" s="20"/>
      <c r="Q8" s="20"/>
      <c r="R8" s="63"/>
      <c r="S8" s="45"/>
      <c r="T8" s="20"/>
      <c r="U8" s="63"/>
    </row>
    <row r="9" spans="1:21" ht="12.75">
      <c r="A9">
        <f t="shared" si="0"/>
        <v>7</v>
      </c>
      <c r="B9" s="54" t="s">
        <v>0</v>
      </c>
      <c r="C9" s="19">
        <v>229.385524</v>
      </c>
      <c r="D9" s="88">
        <f>database!I9</f>
        <v>34808029.3275076</v>
      </c>
      <c r="E9" s="88">
        <v>0</v>
      </c>
      <c r="F9" s="88">
        <f>database!G9</f>
        <v>663039.8340477052</v>
      </c>
      <c r="G9" s="88">
        <f>D9+E9+F9</f>
        <v>35471069.161555305</v>
      </c>
      <c r="H9" s="45">
        <f>database!K9</f>
        <v>36687016.53560616</v>
      </c>
      <c r="I9" s="20">
        <f>+H9-D9</f>
        <v>1878987.2080985606</v>
      </c>
      <c r="J9" s="63">
        <f>+I9/G9</f>
        <v>0.052972387145721216</v>
      </c>
      <c r="K9" s="45">
        <f>E9</f>
        <v>0</v>
      </c>
      <c r="L9" s="20">
        <v>0</v>
      </c>
      <c r="M9" s="20">
        <f>L9-K9</f>
        <v>0</v>
      </c>
      <c r="N9" s="62">
        <f>M9/G9</f>
        <v>0</v>
      </c>
      <c r="O9" s="45">
        <f>F9</f>
        <v>663039.8340477052</v>
      </c>
      <c r="P9" s="20">
        <v>0</v>
      </c>
      <c r="Q9" s="20">
        <f>P9-O9</f>
        <v>-663039.8340477052</v>
      </c>
      <c r="R9" s="62">
        <f>+Q9/G9</f>
        <v>-0.018692411864662067</v>
      </c>
      <c r="S9" s="45">
        <f>+H9+L9+P9</f>
        <v>36687016.53560616</v>
      </c>
      <c r="T9" s="20">
        <f>S9-G9</f>
        <v>1215947.3740508556</v>
      </c>
      <c r="U9" s="63">
        <f>T9/G9</f>
        <v>0.03427997528105916</v>
      </c>
    </row>
    <row r="10" spans="1:21" ht="12.75">
      <c r="A10">
        <f t="shared" si="0"/>
        <v>8</v>
      </c>
      <c r="B10" s="39" t="s">
        <v>9</v>
      </c>
      <c r="C10" s="19">
        <v>2433.008693</v>
      </c>
      <c r="D10" s="88">
        <f>database!I10</f>
        <v>305474364.231228</v>
      </c>
      <c r="E10" s="88">
        <v>0</v>
      </c>
      <c r="F10" s="88">
        <f>database!G10</f>
        <v>7640243.683163606</v>
      </c>
      <c r="G10" s="88">
        <f>D10+E10+F10</f>
        <v>313114607.9143916</v>
      </c>
      <c r="H10" s="45">
        <f>database!K10</f>
        <v>321964307.32429814</v>
      </c>
      <c r="I10" s="20">
        <f>+H10-D10</f>
        <v>16489943.09307015</v>
      </c>
      <c r="J10" s="63">
        <f>+I10/G10</f>
        <v>0.05266424074848227</v>
      </c>
      <c r="K10" s="45">
        <f>E10</f>
        <v>0</v>
      </c>
      <c r="L10" s="20">
        <v>0</v>
      </c>
      <c r="M10" s="20">
        <f>L10-K10</f>
        <v>0</v>
      </c>
      <c r="N10" s="62">
        <f>M10/G10</f>
        <v>0</v>
      </c>
      <c r="O10" s="45">
        <f>F10</f>
        <v>7640243.683163606</v>
      </c>
      <c r="P10" s="20">
        <v>0</v>
      </c>
      <c r="Q10" s="20">
        <f>P10-O10</f>
        <v>-7640243.683163606</v>
      </c>
      <c r="R10" s="62">
        <f>+Q10/G10</f>
        <v>-0.024400789647133037</v>
      </c>
      <c r="S10" s="45">
        <f>+H10+L10+P10</f>
        <v>321964307.32429814</v>
      </c>
      <c r="T10" s="20">
        <f>S10-G10</f>
        <v>8849699.409906566</v>
      </c>
      <c r="U10" s="63">
        <f>T10/G10</f>
        <v>0.028263451101349302</v>
      </c>
    </row>
    <row r="11" spans="1:21" ht="12.75">
      <c r="A11">
        <f t="shared" si="0"/>
        <v>9</v>
      </c>
      <c r="B11" s="55" t="s">
        <v>1</v>
      </c>
      <c r="C11" s="21">
        <v>386.956179</v>
      </c>
      <c r="D11" s="89">
        <f>database!I11</f>
        <v>41426211.24046265</v>
      </c>
      <c r="E11" s="89">
        <v>0</v>
      </c>
      <c r="F11" s="89">
        <f>database!G11</f>
        <v>1341147.4854338877</v>
      </c>
      <c r="G11" s="89">
        <f>D11+E11+F11</f>
        <v>42767358.72589654</v>
      </c>
      <c r="H11" s="46">
        <f>database!K11</f>
        <v>43662457.37403231</v>
      </c>
      <c r="I11" s="22">
        <f>+H11-D11</f>
        <v>2236246.133569658</v>
      </c>
      <c r="J11" s="57">
        <f>+I11/G11</f>
        <v>0.05228861917571645</v>
      </c>
      <c r="K11" s="46">
        <f>E11</f>
        <v>0</v>
      </c>
      <c r="L11" s="22">
        <v>0</v>
      </c>
      <c r="M11" s="22">
        <f>L11-K11</f>
        <v>0</v>
      </c>
      <c r="N11" s="67">
        <f>M11/G11</f>
        <v>0</v>
      </c>
      <c r="O11" s="46">
        <f>F11</f>
        <v>1341147.4854338877</v>
      </c>
      <c r="P11" s="22">
        <v>0</v>
      </c>
      <c r="Q11" s="22">
        <f>P11-O11</f>
        <v>-1341147.4854338877</v>
      </c>
      <c r="R11" s="67">
        <f>+Q11/G11</f>
        <v>-0.03135913756165153</v>
      </c>
      <c r="S11" s="46">
        <f>+H11+L11+P11</f>
        <v>43662457.37403231</v>
      </c>
      <c r="T11" s="22">
        <f>S11-G11</f>
        <v>895098.6481357738</v>
      </c>
      <c r="U11" s="57">
        <f>T11/G11</f>
        <v>0.020929481614064997</v>
      </c>
    </row>
    <row r="12" spans="1:21" ht="12.75">
      <c r="A12">
        <f t="shared" si="0"/>
        <v>10</v>
      </c>
      <c r="B12" s="38" t="s">
        <v>10</v>
      </c>
      <c r="C12" s="17">
        <f aca="true" t="shared" si="1" ref="C12:H12">SUM(C9:C11)</f>
        <v>3049.350396</v>
      </c>
      <c r="D12" s="87">
        <f t="shared" si="1"/>
        <v>381708604.79919827</v>
      </c>
      <c r="E12" s="87">
        <f t="shared" si="1"/>
        <v>0</v>
      </c>
      <c r="F12" s="87">
        <f t="shared" si="1"/>
        <v>9644431.002645198</v>
      </c>
      <c r="G12" s="87">
        <f t="shared" si="1"/>
        <v>391353035.8018434</v>
      </c>
      <c r="H12" s="44">
        <f t="shared" si="1"/>
        <v>402313781.2339366</v>
      </c>
      <c r="I12" s="18">
        <f>+H12-D12</f>
        <v>20605176.434738338</v>
      </c>
      <c r="J12" s="48">
        <f>+I12/G12</f>
        <v>0.05265112200425476</v>
      </c>
      <c r="K12" s="44">
        <f>SUM(K9:K11)</f>
        <v>0</v>
      </c>
      <c r="L12" s="18">
        <f>SUM(L9:L11)</f>
        <v>0</v>
      </c>
      <c r="M12" s="18">
        <f>L12-K12</f>
        <v>0</v>
      </c>
      <c r="N12" s="48">
        <f>M12/G12</f>
        <v>0</v>
      </c>
      <c r="O12" s="44">
        <f>SUM(O9:O11)</f>
        <v>9644431.002645198</v>
      </c>
      <c r="P12" s="18">
        <f>SUM(P9:P11)</f>
        <v>0</v>
      </c>
      <c r="Q12" s="18">
        <f>P12-O12</f>
        <v>-9644431.002645198</v>
      </c>
      <c r="R12" s="48">
        <f>+Q12/G12</f>
        <v>-0.024643812926823782</v>
      </c>
      <c r="S12" s="44">
        <f>SUM(S9:S11)</f>
        <v>402313781.2339366</v>
      </c>
      <c r="T12" s="18">
        <f>S12-G12</f>
        <v>10960745.432093203</v>
      </c>
      <c r="U12" s="48">
        <f>T12/G12</f>
        <v>0.028007309077431142</v>
      </c>
    </row>
    <row r="13" spans="1:21" ht="12.75">
      <c r="A13">
        <f t="shared" si="0"/>
        <v>11</v>
      </c>
      <c r="B13" s="39"/>
      <c r="C13" s="19"/>
      <c r="D13" s="88"/>
      <c r="E13" s="88"/>
      <c r="F13" s="88"/>
      <c r="G13" s="88"/>
      <c r="H13" s="45"/>
      <c r="I13" s="20"/>
      <c r="J13" s="63"/>
      <c r="K13" s="45"/>
      <c r="L13" s="20"/>
      <c r="M13" s="20"/>
      <c r="N13" s="63"/>
      <c r="O13" s="45"/>
      <c r="P13" s="20"/>
      <c r="Q13" s="20"/>
      <c r="R13" s="63"/>
      <c r="S13" s="45"/>
      <c r="T13" s="20"/>
      <c r="U13" s="63"/>
    </row>
    <row r="14" spans="1:22" ht="12.75">
      <c r="A14">
        <f t="shared" si="0"/>
        <v>12</v>
      </c>
      <c r="B14" s="39" t="s">
        <v>2</v>
      </c>
      <c r="C14" s="19">
        <v>260.262666</v>
      </c>
      <c r="D14" s="88">
        <f>database!I14</f>
        <v>31779026.180414997</v>
      </c>
      <c r="E14" s="88">
        <v>0</v>
      </c>
      <c r="F14" s="88">
        <f>database!G14</f>
        <v>827566.6761845871</v>
      </c>
      <c r="G14" s="88">
        <f>D14+E14+F14</f>
        <v>32606592.856599584</v>
      </c>
      <c r="H14" s="45">
        <f>database!K14</f>
        <v>33494503.46633076</v>
      </c>
      <c r="I14" s="20">
        <f>+H14-D14</f>
        <v>1715477.2859157622</v>
      </c>
      <c r="J14" s="63">
        <f aca="true" t="shared" si="2" ref="J14:J20">+I14/G14</f>
        <v>0.05261136278360188</v>
      </c>
      <c r="K14" s="45">
        <f>E14</f>
        <v>0</v>
      </c>
      <c r="L14" s="20">
        <v>0</v>
      </c>
      <c r="M14" s="20">
        <f>L14-K14</f>
        <v>0</v>
      </c>
      <c r="N14" s="62">
        <f aca="true" t="shared" si="3" ref="N14:N20">M14/G14</f>
        <v>0</v>
      </c>
      <c r="O14" s="45">
        <f>F14</f>
        <v>827566.6761845871</v>
      </c>
      <c r="P14" s="20">
        <v>0</v>
      </c>
      <c r="Q14" s="20">
        <f>P14-O14</f>
        <v>-827566.6761845871</v>
      </c>
      <c r="R14" s="62">
        <f aca="true" t="shared" si="4" ref="R14:R20">+Q14/G14</f>
        <v>-0.025380348073291176</v>
      </c>
      <c r="S14" s="45">
        <f>+H14+L14+P14</f>
        <v>33494503.46633076</v>
      </c>
      <c r="T14" s="20">
        <f aca="true" t="shared" si="5" ref="T14:T20">S14-G14</f>
        <v>887910.609731175</v>
      </c>
      <c r="U14" s="63">
        <f aca="true" t="shared" si="6" ref="U14:U20">T14/G14</f>
        <v>0.027231014710310697</v>
      </c>
      <c r="V14" s="85"/>
    </row>
    <row r="15" spans="1:21" ht="12.75">
      <c r="A15">
        <f t="shared" si="0"/>
        <v>13</v>
      </c>
      <c r="B15" s="39" t="s">
        <v>3</v>
      </c>
      <c r="C15" s="19">
        <v>512.810388</v>
      </c>
      <c r="D15" s="88">
        <f>database!I15</f>
        <v>54358393.10344561</v>
      </c>
      <c r="E15" s="88">
        <v>0</v>
      </c>
      <c r="F15" s="88">
        <f>database!G15</f>
        <v>1564646.3316729537</v>
      </c>
      <c r="G15" s="88">
        <f>D15+E15+F15</f>
        <v>55923039.43511856</v>
      </c>
      <c r="H15" s="45">
        <f>database!K15</f>
        <v>57292736.910535276</v>
      </c>
      <c r="I15" s="20">
        <f>+H15-D15</f>
        <v>2934343.807089664</v>
      </c>
      <c r="J15" s="63">
        <f t="shared" si="2"/>
        <v>0.052471107377739454</v>
      </c>
      <c r="K15" s="45">
        <f>E15</f>
        <v>0</v>
      </c>
      <c r="L15" s="20">
        <v>0</v>
      </c>
      <c r="M15" s="20">
        <f>L15-K15</f>
        <v>0</v>
      </c>
      <c r="N15" s="62">
        <f t="shared" si="3"/>
        <v>0</v>
      </c>
      <c r="O15" s="45">
        <f>F15</f>
        <v>1564646.3316729537</v>
      </c>
      <c r="P15" s="20">
        <v>0</v>
      </c>
      <c r="Q15" s="20">
        <f>P15-O15</f>
        <v>-1564646.3316729537</v>
      </c>
      <c r="R15" s="62">
        <f t="shared" si="4"/>
        <v>-0.027978563888471104</v>
      </c>
      <c r="S15" s="45">
        <f>+H15+L15+P15</f>
        <v>57292736.910535276</v>
      </c>
      <c r="T15" s="20">
        <f t="shared" si="5"/>
        <v>1369697.4754167125</v>
      </c>
      <c r="U15" s="63">
        <f t="shared" si="6"/>
        <v>0.024492543489268388</v>
      </c>
    </row>
    <row r="16" spans="1:21" s="104" customFormat="1" ht="12.75">
      <c r="A16">
        <f t="shared" si="0"/>
        <v>14</v>
      </c>
      <c r="B16" s="105" t="s">
        <v>70</v>
      </c>
      <c r="C16" s="106">
        <v>228.669798</v>
      </c>
      <c r="D16" s="107">
        <f>database!I16</f>
        <v>20861588.385980446</v>
      </c>
      <c r="E16" s="107">
        <v>0</v>
      </c>
      <c r="F16" s="107">
        <f>database!G16</f>
        <v>747144.0117227418</v>
      </c>
      <c r="G16" s="107">
        <f>D16+E16+F16</f>
        <v>21608732.39770319</v>
      </c>
      <c r="H16" s="109">
        <f>database!K16</f>
        <v>21922990.001528993</v>
      </c>
      <c r="I16" s="108">
        <f>+H16-D16</f>
        <v>1061401.6155485474</v>
      </c>
      <c r="J16" s="110">
        <f t="shared" si="2"/>
        <v>0.049119105925036335</v>
      </c>
      <c r="K16" s="109">
        <f>E16</f>
        <v>0</v>
      </c>
      <c r="L16" s="108">
        <v>0</v>
      </c>
      <c r="M16" s="108">
        <f>L16-K16</f>
        <v>0</v>
      </c>
      <c r="N16" s="110">
        <f t="shared" si="3"/>
        <v>0</v>
      </c>
      <c r="O16" s="109">
        <f>F16</f>
        <v>747144.0117227418</v>
      </c>
      <c r="P16" s="108">
        <v>0</v>
      </c>
      <c r="Q16" s="108">
        <f>P16-O16</f>
        <v>-747144.0117227418</v>
      </c>
      <c r="R16" s="110">
        <f t="shared" si="4"/>
        <v>-0.034576022228965005</v>
      </c>
      <c r="S16" s="109">
        <f>+H16+L16+P16</f>
        <v>21922990.001528993</v>
      </c>
      <c r="T16" s="108">
        <f t="shared" si="5"/>
        <v>314257.60382580385</v>
      </c>
      <c r="U16" s="110">
        <f t="shared" si="6"/>
        <v>0.01454308369607125</v>
      </c>
    </row>
    <row r="17" spans="1:21" s="104" customFormat="1" ht="12.75">
      <c r="A17">
        <f t="shared" si="0"/>
        <v>15</v>
      </c>
      <c r="B17" s="105" t="s">
        <v>71</v>
      </c>
      <c r="C17" s="113">
        <v>693.10233</v>
      </c>
      <c r="D17" s="114">
        <f>database!I17</f>
        <v>61510900.05910061</v>
      </c>
      <c r="E17" s="114">
        <v>0</v>
      </c>
      <c r="F17" s="114">
        <f>database!G17</f>
        <v>2314921.610091774</v>
      </c>
      <c r="G17" s="114">
        <f>D17+E17+F17</f>
        <v>63825821.66919239</v>
      </c>
      <c r="H17" s="116">
        <f>database!K17</f>
        <v>64921417.519785345</v>
      </c>
      <c r="I17" s="115">
        <f>+H17-D17</f>
        <v>3410517.4606847316</v>
      </c>
      <c r="J17" s="117">
        <f t="shared" si="2"/>
        <v>0.053434759968486685</v>
      </c>
      <c r="K17" s="116">
        <f>E17</f>
        <v>0</v>
      </c>
      <c r="L17" s="115">
        <v>0</v>
      </c>
      <c r="M17" s="115">
        <f>L17-K17</f>
        <v>0</v>
      </c>
      <c r="N17" s="117">
        <f t="shared" si="3"/>
        <v>0</v>
      </c>
      <c r="O17" s="116">
        <f>F17</f>
        <v>2314921.610091774</v>
      </c>
      <c r="P17" s="115">
        <v>0</v>
      </c>
      <c r="Q17" s="115">
        <f>P17-O17</f>
        <v>-2314921.610091774</v>
      </c>
      <c r="R17" s="117">
        <f t="shared" si="4"/>
        <v>-0.036269358537833696</v>
      </c>
      <c r="S17" s="116">
        <f>+H17+L17+P17</f>
        <v>64921417.519785345</v>
      </c>
      <c r="T17" s="115">
        <f t="shared" si="5"/>
        <v>1095595.850592956</v>
      </c>
      <c r="U17" s="57">
        <f t="shared" si="6"/>
        <v>0.017165401430652965</v>
      </c>
    </row>
    <row r="18" spans="1:21" ht="12.75">
      <c r="A18">
        <f t="shared" si="0"/>
        <v>16</v>
      </c>
      <c r="B18" s="39" t="s">
        <v>72</v>
      </c>
      <c r="C18" s="19">
        <f>C16+C17</f>
        <v>921.7721280000001</v>
      </c>
      <c r="D18" s="88">
        <f>SUM(D16:D17)</f>
        <v>82372488.44508106</v>
      </c>
      <c r="E18" s="88">
        <f>SUM(E16:E17)</f>
        <v>0</v>
      </c>
      <c r="F18" s="88">
        <f>SUM(F16:F17)</f>
        <v>3062065.6218145154</v>
      </c>
      <c r="G18" s="88">
        <f>G16+G17</f>
        <v>85434554.06689557</v>
      </c>
      <c r="H18" s="45">
        <f>SUM(H16:H17)</f>
        <v>86844407.52131434</v>
      </c>
      <c r="I18" s="20">
        <f>SUM(I16:I17)</f>
        <v>4471919.076233279</v>
      </c>
      <c r="J18" s="63">
        <f t="shared" si="2"/>
        <v>0.052343213177325765</v>
      </c>
      <c r="K18" s="45">
        <f>K16+K17</f>
        <v>0</v>
      </c>
      <c r="L18" s="20">
        <f>L16+L17</f>
        <v>0</v>
      </c>
      <c r="M18" s="20">
        <f>M16+M17</f>
        <v>0</v>
      </c>
      <c r="N18" s="62">
        <f t="shared" si="3"/>
        <v>0</v>
      </c>
      <c r="O18" s="45">
        <f>O16+O17</f>
        <v>3062065.6218145154</v>
      </c>
      <c r="P18" s="20">
        <f>SUM(P16:P17)</f>
        <v>0</v>
      </c>
      <c r="Q18" s="20">
        <f>SUM(Q16:Q17)</f>
        <v>-3062065.6218145154</v>
      </c>
      <c r="R18" s="62">
        <f t="shared" si="4"/>
        <v>-0.03584106753125798</v>
      </c>
      <c r="S18" s="45">
        <f>S16+S17</f>
        <v>86844407.52131434</v>
      </c>
      <c r="T18" s="20">
        <f t="shared" si="5"/>
        <v>1409853.4544187635</v>
      </c>
      <c r="U18" s="63">
        <f t="shared" si="6"/>
        <v>0.016502145646067785</v>
      </c>
    </row>
    <row r="19" spans="1:21" ht="12.75">
      <c r="A19">
        <f t="shared" si="0"/>
        <v>17</v>
      </c>
      <c r="B19" s="55" t="s">
        <v>65</v>
      </c>
      <c r="C19" s="21">
        <v>0</v>
      </c>
      <c r="D19" s="89">
        <f>database!I19</f>
        <v>0</v>
      </c>
      <c r="E19" s="89">
        <v>0</v>
      </c>
      <c r="F19" s="89">
        <f>database!G19</f>
        <v>0</v>
      </c>
      <c r="G19" s="89">
        <f>D19+E19+F19</f>
        <v>0</v>
      </c>
      <c r="H19" s="46">
        <f>database!K19</f>
        <v>0</v>
      </c>
      <c r="I19" s="22">
        <f>+H19-D19</f>
        <v>0</v>
      </c>
      <c r="J19" s="129" t="s">
        <v>50</v>
      </c>
      <c r="K19" s="46">
        <f>E19</f>
        <v>0</v>
      </c>
      <c r="L19" s="22">
        <f>database!E19</f>
        <v>0</v>
      </c>
      <c r="M19" s="22">
        <f>L19-K19</f>
        <v>0</v>
      </c>
      <c r="N19" s="129" t="s">
        <v>50</v>
      </c>
      <c r="O19" s="46">
        <f>F19</f>
        <v>0</v>
      </c>
      <c r="P19" s="22">
        <f>database!E19</f>
        <v>0</v>
      </c>
      <c r="Q19" s="22">
        <f>P19-O19</f>
        <v>0</v>
      </c>
      <c r="R19" s="129" t="s">
        <v>50</v>
      </c>
      <c r="S19" s="46">
        <f>+H19+L19+P19</f>
        <v>0</v>
      </c>
      <c r="T19" s="22">
        <f t="shared" si="5"/>
        <v>0</v>
      </c>
      <c r="U19" s="129" t="s">
        <v>50</v>
      </c>
    </row>
    <row r="20" spans="1:21" ht="12.75">
      <c r="A20">
        <f t="shared" si="0"/>
        <v>18</v>
      </c>
      <c r="B20" s="38" t="s">
        <v>11</v>
      </c>
      <c r="C20" s="17">
        <f aca="true" t="shared" si="7" ref="C20:H20">C14+C15+C18+C19</f>
        <v>1694.845182</v>
      </c>
      <c r="D20" s="87">
        <f t="shared" si="7"/>
        <v>168509907.72894168</v>
      </c>
      <c r="E20" s="87">
        <f t="shared" si="7"/>
        <v>0</v>
      </c>
      <c r="F20" s="87">
        <f t="shared" si="7"/>
        <v>5454278.629672056</v>
      </c>
      <c r="G20" s="87">
        <f t="shared" si="7"/>
        <v>173964186.35861373</v>
      </c>
      <c r="H20" s="44">
        <f t="shared" si="7"/>
        <v>177631647.89818037</v>
      </c>
      <c r="I20" s="18">
        <f>+H20-D20</f>
        <v>9121740.169238687</v>
      </c>
      <c r="J20" s="48">
        <f t="shared" si="2"/>
        <v>0.052434586452380055</v>
      </c>
      <c r="K20" s="44">
        <f>K14+K15+K18+K19</f>
        <v>0</v>
      </c>
      <c r="L20" s="18">
        <f>L14+L15+L18+L19</f>
        <v>0</v>
      </c>
      <c r="M20" s="18">
        <f>L20-K20</f>
        <v>0</v>
      </c>
      <c r="N20" s="48">
        <f t="shared" si="3"/>
        <v>0</v>
      </c>
      <c r="O20" s="44">
        <f>O14+O15+O18+O19</f>
        <v>5454278.629672056</v>
      </c>
      <c r="P20" s="18">
        <f>P14+P15+P18+P19</f>
        <v>0</v>
      </c>
      <c r="Q20" s="18">
        <f>P20-O20</f>
        <v>-5454278.629672056</v>
      </c>
      <c r="R20" s="48">
        <f t="shared" si="4"/>
        <v>-0.03135288212959236</v>
      </c>
      <c r="S20" s="44">
        <f>S14+S15+S18+S19</f>
        <v>177631647.89818037</v>
      </c>
      <c r="T20" s="18">
        <f t="shared" si="5"/>
        <v>3667461.539566636</v>
      </c>
      <c r="U20" s="48">
        <f t="shared" si="6"/>
        <v>0.021081704322787723</v>
      </c>
    </row>
    <row r="21" spans="1:21" ht="12.75">
      <c r="A21">
        <f t="shared" si="0"/>
        <v>19</v>
      </c>
      <c r="B21" s="39"/>
      <c r="C21" s="19"/>
      <c r="D21" s="88"/>
      <c r="E21" s="88"/>
      <c r="F21" s="88"/>
      <c r="G21" s="88"/>
      <c r="H21" s="45"/>
      <c r="I21" s="20"/>
      <c r="J21" s="63"/>
      <c r="K21" s="45"/>
      <c r="L21" s="20"/>
      <c r="M21" s="20"/>
      <c r="N21" s="63"/>
      <c r="O21" s="45"/>
      <c r="P21" s="20"/>
      <c r="Q21" s="20"/>
      <c r="R21" s="63"/>
      <c r="S21" s="45"/>
      <c r="T21" s="20"/>
      <c r="U21" s="63"/>
    </row>
    <row r="22" spans="1:21" ht="12.75">
      <c r="A22">
        <f t="shared" si="0"/>
        <v>20</v>
      </c>
      <c r="B22" s="39" t="s">
        <v>4</v>
      </c>
      <c r="C22" s="19">
        <v>191.729315</v>
      </c>
      <c r="D22" s="88">
        <f>database!I22</f>
        <v>20382351.92009867</v>
      </c>
      <c r="E22" s="88">
        <v>0</v>
      </c>
      <c r="F22" s="88">
        <f>database!G22</f>
        <v>525575.388646511</v>
      </c>
      <c r="G22" s="88">
        <f>D22+E22+F22</f>
        <v>20907927.30874518</v>
      </c>
      <c r="H22" s="45">
        <f>database!K22</f>
        <v>21482620.429082107</v>
      </c>
      <c r="I22" s="20">
        <f>+H22-D22</f>
        <v>1100268.508983437</v>
      </c>
      <c r="J22" s="63">
        <f>+I22/G22</f>
        <v>0.052624465961445474</v>
      </c>
      <c r="K22" s="45">
        <f>E22</f>
        <v>0</v>
      </c>
      <c r="L22" s="20">
        <v>0</v>
      </c>
      <c r="M22" s="20">
        <f>L22-K22</f>
        <v>0</v>
      </c>
      <c r="N22" s="63">
        <f>M22/G22</f>
        <v>0</v>
      </c>
      <c r="O22" s="45">
        <f>F22</f>
        <v>525575.388646511</v>
      </c>
      <c r="P22" s="20">
        <v>0</v>
      </c>
      <c r="Q22" s="20">
        <f>P22-O22</f>
        <v>-525575.388646511</v>
      </c>
      <c r="R22" s="62">
        <f>+Q22/G22</f>
        <v>-0.025137613159133095</v>
      </c>
      <c r="S22" s="45">
        <f>+H22+L22+P22</f>
        <v>21482620.429082107</v>
      </c>
      <c r="T22" s="20">
        <f>S22-G22</f>
        <v>574693.1203369275</v>
      </c>
      <c r="U22" s="63">
        <f>T22/G22</f>
        <v>0.02748685280231245</v>
      </c>
    </row>
    <row r="23" spans="1:21" ht="12.75">
      <c r="A23">
        <f t="shared" si="0"/>
        <v>21</v>
      </c>
      <c r="B23" s="55" t="s">
        <v>5</v>
      </c>
      <c r="C23" s="21">
        <v>97.81266</v>
      </c>
      <c r="D23" s="89">
        <f>database!I23</f>
        <v>23080853.380200006</v>
      </c>
      <c r="E23" s="89">
        <v>0</v>
      </c>
      <c r="F23" s="89">
        <f>database!G23</f>
        <v>403570.4509134289</v>
      </c>
      <c r="G23" s="89">
        <f>D23+E23+F23</f>
        <v>23484423.831113435</v>
      </c>
      <c r="H23" s="46">
        <f>database!K23</f>
        <v>23989268.73110948</v>
      </c>
      <c r="I23" s="22">
        <f>+H23-D23</f>
        <v>908415.3509094752</v>
      </c>
      <c r="J23" s="57">
        <f>+I23/G23</f>
        <v>0.03868161115819914</v>
      </c>
      <c r="K23" s="46">
        <f>E23</f>
        <v>0</v>
      </c>
      <c r="L23" s="22">
        <v>0</v>
      </c>
      <c r="M23" s="22">
        <f>L23-K23</f>
        <v>0</v>
      </c>
      <c r="N23" s="57">
        <f>M23/G23</f>
        <v>0</v>
      </c>
      <c r="O23" s="46">
        <f>F23</f>
        <v>403570.4509134289</v>
      </c>
      <c r="P23" s="22">
        <v>0</v>
      </c>
      <c r="Q23" s="22">
        <f>P23-O23</f>
        <v>-403570.4509134289</v>
      </c>
      <c r="R23" s="67">
        <f>+Q23/G23</f>
        <v>-0.017184600900395818</v>
      </c>
      <c r="S23" s="46">
        <f>+H23+L23+P23</f>
        <v>23989268.73110948</v>
      </c>
      <c r="T23" s="22">
        <f>S23-G23</f>
        <v>504844.899996046</v>
      </c>
      <c r="U23" s="57">
        <f>T23/G23</f>
        <v>0.021497010257803307</v>
      </c>
    </row>
    <row r="24" spans="1:21" ht="12.75">
      <c r="A24">
        <f t="shared" si="0"/>
        <v>22</v>
      </c>
      <c r="B24" s="38" t="s">
        <v>23</v>
      </c>
      <c r="C24" s="17">
        <f>SUM(C22:C23)</f>
        <v>289.541975</v>
      </c>
      <c r="D24" s="87">
        <f>SUM(D22:D23)</f>
        <v>43463205.300298676</v>
      </c>
      <c r="E24" s="87">
        <f>SUM(E22:E23)</f>
        <v>0</v>
      </c>
      <c r="F24" s="87">
        <f>SUM(F22:F23)</f>
        <v>929145.8395599399</v>
      </c>
      <c r="G24" s="87">
        <f>G22+G23</f>
        <v>44392351.13985862</v>
      </c>
      <c r="H24" s="44">
        <f>SUM(H22:H23)</f>
        <v>45471889.16019159</v>
      </c>
      <c r="I24" s="18">
        <f>+H24-D24</f>
        <v>2008683.8598929122</v>
      </c>
      <c r="J24" s="48">
        <f>+I24/G24</f>
        <v>0.04524842249432859</v>
      </c>
      <c r="K24" s="44">
        <f>SUM(K22:K23)</f>
        <v>0</v>
      </c>
      <c r="L24" s="18">
        <f>SUM(L22:L23)</f>
        <v>0</v>
      </c>
      <c r="M24" s="18">
        <f>L24-K24</f>
        <v>0</v>
      </c>
      <c r="N24" s="48">
        <f>M24/G24</f>
        <v>0</v>
      </c>
      <c r="O24" s="44">
        <f>SUM(O22:O23)</f>
        <v>929145.8395599399</v>
      </c>
      <c r="P24" s="18">
        <f>SUM(P22:P23)</f>
        <v>0</v>
      </c>
      <c r="Q24" s="18">
        <f>P24-O24</f>
        <v>-929145.8395599399</v>
      </c>
      <c r="R24" s="48">
        <f>+Q24/G24</f>
        <v>-0.020930313797362415</v>
      </c>
      <c r="S24" s="44">
        <f>S22+S23</f>
        <v>45471889.16019159</v>
      </c>
      <c r="T24" s="18">
        <f>S24-G24</f>
        <v>1079538.0203329697</v>
      </c>
      <c r="U24" s="48">
        <f>T24/G24</f>
        <v>0.02431810869696612</v>
      </c>
    </row>
    <row r="25" spans="1:21" ht="12.75">
      <c r="A25">
        <f t="shared" si="0"/>
        <v>23</v>
      </c>
      <c r="B25" s="39"/>
      <c r="C25" s="19"/>
      <c r="D25" s="88"/>
      <c r="E25" s="88"/>
      <c r="F25" s="88"/>
      <c r="G25" s="88"/>
      <c r="H25" s="45"/>
      <c r="I25" s="20"/>
      <c r="J25" s="63"/>
      <c r="K25" s="45"/>
      <c r="L25" s="20"/>
      <c r="M25" s="20"/>
      <c r="N25" s="63"/>
      <c r="O25" s="45"/>
      <c r="P25" s="20"/>
      <c r="Q25" s="20"/>
      <c r="R25" s="63"/>
      <c r="S25" s="45"/>
      <c r="T25" s="20"/>
      <c r="U25" s="63"/>
    </row>
    <row r="26" spans="1:21" ht="12.75">
      <c r="A26">
        <f t="shared" si="0"/>
        <v>24</v>
      </c>
      <c r="B26" s="56" t="s">
        <v>25</v>
      </c>
      <c r="C26" s="17">
        <f aca="true" t="shared" si="8" ref="C26:H26">C7+C12+C20+C24</f>
        <v>9290.96717</v>
      </c>
      <c r="D26" s="87">
        <f t="shared" si="8"/>
        <v>1248121776.68154</v>
      </c>
      <c r="E26" s="87">
        <f t="shared" si="8"/>
        <v>0</v>
      </c>
      <c r="F26" s="87">
        <f t="shared" si="8"/>
        <v>27556030.672780212</v>
      </c>
      <c r="G26" s="87">
        <f t="shared" si="8"/>
        <v>1275677807.35432</v>
      </c>
      <c r="H26" s="44">
        <f t="shared" si="8"/>
        <v>1315184987.5505319</v>
      </c>
      <c r="I26" s="18">
        <f>+H26-D26</f>
        <v>67063210.86899185</v>
      </c>
      <c r="J26" s="48">
        <f>+I26/G26</f>
        <v>0.05257064948717495</v>
      </c>
      <c r="K26" s="44">
        <f>K7+K12+K20+K24</f>
        <v>0</v>
      </c>
      <c r="L26" s="18">
        <f>L7+L12+L20+L24</f>
        <v>0</v>
      </c>
      <c r="M26" s="18">
        <f>L26-K26</f>
        <v>0</v>
      </c>
      <c r="N26" s="48">
        <f>M26/G26</f>
        <v>0</v>
      </c>
      <c r="O26" s="44">
        <f>O7+O12+O20+O24</f>
        <v>27556030.672780212</v>
      </c>
      <c r="P26" s="18">
        <f>P7+P12+P20+P24</f>
        <v>0</v>
      </c>
      <c r="Q26" s="18">
        <f>P26-O26</f>
        <v>-27556030.672780212</v>
      </c>
      <c r="R26" s="48">
        <f>+Q26/G26</f>
        <v>-0.021601089643418492</v>
      </c>
      <c r="S26" s="44">
        <f>S7+S12+S20+S24</f>
        <v>1315184987.5505319</v>
      </c>
      <c r="T26" s="18">
        <f>S26-G26</f>
        <v>39507180.196211815</v>
      </c>
      <c r="U26" s="48">
        <f>T26/G26</f>
        <v>0.030969559843756597</v>
      </c>
    </row>
    <row r="27" spans="1:21" ht="12.75">
      <c r="A27">
        <f t="shared" si="0"/>
        <v>25</v>
      </c>
      <c r="B27" s="39"/>
      <c r="C27" s="19"/>
      <c r="D27" s="88"/>
      <c r="E27" s="88"/>
      <c r="F27" s="88"/>
      <c r="G27" s="88"/>
      <c r="H27" s="45"/>
      <c r="I27" s="20"/>
      <c r="J27" s="63"/>
      <c r="K27" s="45"/>
      <c r="L27" s="20"/>
      <c r="M27" s="20"/>
      <c r="N27" s="63"/>
      <c r="O27" s="45"/>
      <c r="P27" s="20"/>
      <c r="Q27" s="20"/>
      <c r="R27" s="63"/>
      <c r="S27" s="45"/>
      <c r="T27" s="20"/>
      <c r="U27" s="63"/>
    </row>
    <row r="28" spans="1:21" ht="12.75">
      <c r="A28">
        <f t="shared" si="0"/>
        <v>26</v>
      </c>
      <c r="B28" s="38" t="s">
        <v>48</v>
      </c>
      <c r="C28" s="19"/>
      <c r="D28" s="88"/>
      <c r="E28" s="88"/>
      <c r="F28" s="88"/>
      <c r="G28" s="88"/>
      <c r="H28" s="45"/>
      <c r="I28" s="20"/>
      <c r="J28" s="63"/>
      <c r="K28" s="45"/>
      <c r="L28" s="20"/>
      <c r="M28" s="20"/>
      <c r="N28" s="63"/>
      <c r="O28" s="45"/>
      <c r="P28" s="20"/>
      <c r="Q28" s="20"/>
      <c r="R28" s="48"/>
      <c r="S28" s="45"/>
      <c r="T28" s="20"/>
      <c r="U28" s="63"/>
    </row>
    <row r="29" spans="1:21" ht="12.75">
      <c r="A29">
        <f t="shared" si="0"/>
        <v>27</v>
      </c>
      <c r="B29" s="39" t="s">
        <v>6</v>
      </c>
      <c r="C29" s="19">
        <v>18.814683</v>
      </c>
      <c r="D29" s="88">
        <f>database!I29</f>
        <v>1071642</v>
      </c>
      <c r="E29" s="88">
        <v>0</v>
      </c>
      <c r="F29" s="88">
        <f>+database!G29</f>
        <v>0</v>
      </c>
      <c r="G29" s="88">
        <f>D29+E29+F29</f>
        <v>1071642</v>
      </c>
      <c r="H29" s="45">
        <f>database!K29</f>
        <v>1071642</v>
      </c>
      <c r="I29" s="20">
        <f>+H29-D29</f>
        <v>0</v>
      </c>
      <c r="J29" s="63">
        <f>+I29/G29</f>
        <v>0</v>
      </c>
      <c r="K29" s="45">
        <f>E29</f>
        <v>0</v>
      </c>
      <c r="L29" s="20">
        <v>0</v>
      </c>
      <c r="M29" s="20">
        <f>L29-K29</f>
        <v>0</v>
      </c>
      <c r="N29" s="63">
        <f>M29/G29</f>
        <v>0</v>
      </c>
      <c r="O29" s="45">
        <f>F29</f>
        <v>0</v>
      </c>
      <c r="P29" s="20">
        <v>0</v>
      </c>
      <c r="Q29" s="20">
        <f>P29-O29</f>
        <v>0</v>
      </c>
      <c r="R29" s="62">
        <f>+Q29/G29</f>
        <v>0</v>
      </c>
      <c r="S29" s="45">
        <f>+H29+L29+P29</f>
        <v>1071642</v>
      </c>
      <c r="T29" s="20">
        <f>S29-G29</f>
        <v>0</v>
      </c>
      <c r="U29" s="63">
        <f>T29/G29</f>
        <v>0</v>
      </c>
    </row>
    <row r="30" spans="1:21" ht="12.75">
      <c r="A30">
        <f t="shared" si="0"/>
        <v>28</v>
      </c>
      <c r="B30" s="40" t="s">
        <v>12</v>
      </c>
      <c r="C30" s="19">
        <v>178.92</v>
      </c>
      <c r="D30" s="88">
        <f>database!I31</f>
        <v>10241381</v>
      </c>
      <c r="E30" s="88">
        <v>0</v>
      </c>
      <c r="F30" s="88">
        <f>+database!G31</f>
        <v>290428.52609767375</v>
      </c>
      <c r="G30" s="88">
        <f>D30+E30+F30</f>
        <v>10531809.526097674</v>
      </c>
      <c r="H30" s="45">
        <f>database!K31</f>
        <v>10241381</v>
      </c>
      <c r="I30" s="20">
        <f>+H30-D30</f>
        <v>0</v>
      </c>
      <c r="J30" s="66">
        <f>+I30/G30</f>
        <v>0</v>
      </c>
      <c r="K30" s="45">
        <f>E30</f>
        <v>0</v>
      </c>
      <c r="L30" s="20">
        <v>0</v>
      </c>
      <c r="M30" s="20">
        <f>L30-K30</f>
        <v>0</v>
      </c>
      <c r="N30" s="63">
        <f>M30/G30</f>
        <v>0</v>
      </c>
      <c r="O30" s="45">
        <f>F30</f>
        <v>290428.52609767375</v>
      </c>
      <c r="P30" s="20">
        <v>0</v>
      </c>
      <c r="Q30" s="20">
        <f>P30-O30</f>
        <v>-290428.52609767375</v>
      </c>
      <c r="R30" s="62">
        <f>+Q30/G30</f>
        <v>-0.027576317761728978</v>
      </c>
      <c r="S30" s="45">
        <f>+H30+L30+P30</f>
        <v>10241381</v>
      </c>
      <c r="T30" s="20">
        <f>S30-G30</f>
        <v>-290428.5260976739</v>
      </c>
      <c r="U30" s="63">
        <f>T30/G30</f>
        <v>-0.027576317761728995</v>
      </c>
    </row>
    <row r="31" spans="2:21" ht="12.75">
      <c r="B31" s="40" t="s">
        <v>78</v>
      </c>
      <c r="C31" s="19">
        <v>322.080003</v>
      </c>
      <c r="D31" s="88">
        <f>database!I33</f>
        <v>21856349</v>
      </c>
      <c r="E31" s="88">
        <v>0</v>
      </c>
      <c r="F31" s="88">
        <f>database!G33</f>
        <v>1330573.3497849514</v>
      </c>
      <c r="G31" s="88">
        <f>D31+E31+F31</f>
        <v>23186922.34978495</v>
      </c>
      <c r="H31" s="45">
        <f>database!K33</f>
        <v>21856349</v>
      </c>
      <c r="I31" s="20">
        <f>+H31-D31</f>
        <v>0</v>
      </c>
      <c r="J31" s="66">
        <f>+I31/G31</f>
        <v>0</v>
      </c>
      <c r="K31" s="45">
        <f>E31</f>
        <v>0</v>
      </c>
      <c r="L31" s="20">
        <v>0</v>
      </c>
      <c r="M31" s="20">
        <f>L31-K31</f>
        <v>0</v>
      </c>
      <c r="N31" s="63">
        <f>M31/G31</f>
        <v>0</v>
      </c>
      <c r="O31" s="45">
        <f>F31</f>
        <v>1330573.3497849514</v>
      </c>
      <c r="P31" s="20">
        <v>0</v>
      </c>
      <c r="Q31" s="20">
        <f>P31-O31</f>
        <v>-1330573.3497849514</v>
      </c>
      <c r="R31" s="62">
        <f>+Q31/G31</f>
        <v>-0.05738464681567763</v>
      </c>
      <c r="S31" s="45">
        <f>+H31+L31+P31</f>
        <v>21856349</v>
      </c>
      <c r="T31" s="20">
        <f>S31-G31</f>
        <v>-1330573.3497849517</v>
      </c>
      <c r="U31" s="63">
        <f>T31/G31</f>
        <v>-0.057384646815677634</v>
      </c>
    </row>
    <row r="32" spans="1:21" ht="12.75">
      <c r="A32">
        <f>A30+1</f>
        <v>29</v>
      </c>
      <c r="B32" s="41" t="s">
        <v>13</v>
      </c>
      <c r="C32" s="21">
        <v>189</v>
      </c>
      <c r="D32" s="89">
        <f>database!I32</f>
        <v>9782311</v>
      </c>
      <c r="E32" s="89">
        <v>0</v>
      </c>
      <c r="F32" s="88">
        <f>database!G32</f>
        <v>0</v>
      </c>
      <c r="G32" s="89">
        <f>D32+E32+F32</f>
        <v>9782311</v>
      </c>
      <c r="H32" s="46">
        <f>database!K32</f>
        <v>9782311</v>
      </c>
      <c r="I32" s="22">
        <f>+H32-D32</f>
        <v>0</v>
      </c>
      <c r="J32" s="57">
        <f>+I32/G32</f>
        <v>0</v>
      </c>
      <c r="K32" s="46">
        <f>E32</f>
        <v>0</v>
      </c>
      <c r="L32" s="22">
        <v>0</v>
      </c>
      <c r="M32" s="22">
        <f>L32-K32</f>
        <v>0</v>
      </c>
      <c r="N32" s="57">
        <f>M32/G32</f>
        <v>0</v>
      </c>
      <c r="O32" s="46">
        <f>F32</f>
        <v>0</v>
      </c>
      <c r="P32" s="22">
        <v>0</v>
      </c>
      <c r="Q32" s="22">
        <f>P32-O32</f>
        <v>0</v>
      </c>
      <c r="R32" s="67">
        <f>+Q32/G32</f>
        <v>0</v>
      </c>
      <c r="S32" s="46">
        <f>+H32+L32+P32</f>
        <v>9782311</v>
      </c>
      <c r="T32" s="22">
        <f>S32-G32</f>
        <v>0</v>
      </c>
      <c r="U32" s="57">
        <f>T32/G32</f>
        <v>0</v>
      </c>
    </row>
    <row r="33" spans="1:21" ht="12.75">
      <c r="A33">
        <f t="shared" si="0"/>
        <v>30</v>
      </c>
      <c r="B33" s="56" t="s">
        <v>49</v>
      </c>
      <c r="C33" s="17">
        <f>SUM(C29:C32)</f>
        <v>708.8146859999999</v>
      </c>
      <c r="D33" s="87">
        <f>SUM(D29:D32)</f>
        <v>42951683</v>
      </c>
      <c r="E33" s="87">
        <f>SUM(E29:E32)</f>
        <v>0</v>
      </c>
      <c r="F33" s="87">
        <f>SUM(F29:F32)</f>
        <v>1621001.875882625</v>
      </c>
      <c r="G33" s="87">
        <f>G29+G30+G31+G32</f>
        <v>44572684.875882626</v>
      </c>
      <c r="H33" s="44">
        <f>SUM(H29:H32)</f>
        <v>42951683</v>
      </c>
      <c r="I33" s="18">
        <f>+H33-D33</f>
        <v>0</v>
      </c>
      <c r="J33" s="48">
        <f>+I33/G33</f>
        <v>0</v>
      </c>
      <c r="K33" s="44">
        <f>SUM(K29:K32)</f>
        <v>0</v>
      </c>
      <c r="L33" s="18">
        <f>SUM(L29:L32)</f>
        <v>0</v>
      </c>
      <c r="M33" s="18">
        <f>L33-K33</f>
        <v>0</v>
      </c>
      <c r="N33" s="48">
        <f>M33/G33</f>
        <v>0</v>
      </c>
      <c r="O33" s="44">
        <f>SUM(O29:O32)</f>
        <v>1621001.875882625</v>
      </c>
      <c r="P33" s="18">
        <f>SUM(P29:P32)</f>
        <v>0</v>
      </c>
      <c r="Q33" s="18">
        <f>P33-O33</f>
        <v>-1621001.875882625</v>
      </c>
      <c r="R33" s="48">
        <f>+Q33/G33</f>
        <v>-0.03636760676177522</v>
      </c>
      <c r="S33" s="44">
        <f>SUM(S29:S32)</f>
        <v>42951683</v>
      </c>
      <c r="T33" s="18">
        <f>S33-G33</f>
        <v>-1621001.8758826256</v>
      </c>
      <c r="U33" s="48">
        <f>T33/G33</f>
        <v>-0.03636760676177523</v>
      </c>
    </row>
    <row r="34" spans="1:21" ht="12.75">
      <c r="A34">
        <f t="shared" si="0"/>
        <v>31</v>
      </c>
      <c r="B34" s="56"/>
      <c r="C34" s="17"/>
      <c r="D34" s="87"/>
      <c r="E34" s="87"/>
      <c r="F34" s="87"/>
      <c r="G34" s="87"/>
      <c r="H34" s="44"/>
      <c r="I34" s="18"/>
      <c r="J34" s="48"/>
      <c r="K34" s="44"/>
      <c r="L34" s="18"/>
      <c r="M34" s="18"/>
      <c r="N34" s="48"/>
      <c r="O34" s="44"/>
      <c r="P34" s="18"/>
      <c r="Q34" s="18"/>
      <c r="R34" s="48"/>
      <c r="S34" s="44"/>
      <c r="T34" s="18"/>
      <c r="U34" s="48"/>
    </row>
    <row r="35" spans="1:21" ht="12.75">
      <c r="A35">
        <f t="shared" si="0"/>
        <v>32</v>
      </c>
      <c r="B35" s="83" t="s">
        <v>47</v>
      </c>
      <c r="C35" s="17"/>
      <c r="D35" s="88">
        <f>database!I38</f>
        <v>4259866</v>
      </c>
      <c r="E35" s="88">
        <v>0</v>
      </c>
      <c r="F35" s="88">
        <v>0</v>
      </c>
      <c r="G35" s="88">
        <f>D35+E35+F35</f>
        <v>4259866</v>
      </c>
      <c r="H35" s="45">
        <f>database!K36</f>
        <v>4340815.390551678</v>
      </c>
      <c r="I35" s="20">
        <f>+H35-D35</f>
        <v>80949.3905516779</v>
      </c>
      <c r="J35" s="66">
        <f>+I35/G35</f>
        <v>0.019002802095577163</v>
      </c>
      <c r="K35" s="45">
        <v>0</v>
      </c>
      <c r="L35" s="18">
        <v>0</v>
      </c>
      <c r="M35" s="18">
        <v>0</v>
      </c>
      <c r="N35" s="127" t="s">
        <v>50</v>
      </c>
      <c r="O35" s="45">
        <f>F35</f>
        <v>0</v>
      </c>
      <c r="P35" s="18">
        <v>0</v>
      </c>
      <c r="Q35" s="18">
        <v>0</v>
      </c>
      <c r="R35" s="127" t="s">
        <v>50</v>
      </c>
      <c r="S35" s="45">
        <f>+H35+L35+P35</f>
        <v>4340815.390551678</v>
      </c>
      <c r="T35" s="20">
        <f>S35-G35</f>
        <v>80949.3905516779</v>
      </c>
      <c r="U35" s="62">
        <f>T35/G35</f>
        <v>0.019002802095577163</v>
      </c>
    </row>
    <row r="36" spans="1:21" ht="12.75">
      <c r="A36">
        <f t="shared" si="0"/>
        <v>33</v>
      </c>
      <c r="B36" s="39"/>
      <c r="C36" s="19"/>
      <c r="D36" s="88"/>
      <c r="E36" s="88"/>
      <c r="F36" s="88"/>
      <c r="G36" s="88"/>
      <c r="H36" s="45"/>
      <c r="I36" s="20"/>
      <c r="J36" s="63"/>
      <c r="K36" s="45"/>
      <c r="L36" s="20"/>
      <c r="M36" s="20"/>
      <c r="N36" s="63"/>
      <c r="O36" s="45"/>
      <c r="P36" s="20"/>
      <c r="Q36" s="20"/>
      <c r="R36" s="63"/>
      <c r="S36" s="45"/>
      <c r="T36" s="20"/>
      <c r="U36" s="63"/>
    </row>
    <row r="37" spans="1:21" ht="12.75">
      <c r="A37">
        <f t="shared" si="0"/>
        <v>34</v>
      </c>
      <c r="B37" s="37"/>
      <c r="C37" s="17"/>
      <c r="D37" s="90"/>
      <c r="E37" s="90"/>
      <c r="F37" s="90"/>
      <c r="G37" s="90"/>
      <c r="H37" s="47"/>
      <c r="I37" s="23"/>
      <c r="J37" s="63"/>
      <c r="K37" s="47"/>
      <c r="L37" s="23"/>
      <c r="M37" s="18"/>
      <c r="N37" s="48"/>
      <c r="O37" s="47"/>
      <c r="P37" s="23"/>
      <c r="Q37" s="23"/>
      <c r="R37" s="48"/>
      <c r="S37" s="47"/>
      <c r="T37" s="23"/>
      <c r="U37" s="48"/>
    </row>
    <row r="38" spans="1:21" ht="12.75">
      <c r="A38">
        <f t="shared" si="0"/>
        <v>35</v>
      </c>
      <c r="B38" s="38" t="s">
        <v>15</v>
      </c>
      <c r="C38" s="17">
        <f>C26+C33</f>
        <v>9999.781856</v>
      </c>
      <c r="D38" s="87">
        <f>D26+D33+D35</f>
        <v>1295333325.68154</v>
      </c>
      <c r="E38" s="87">
        <f>E26+E33+E35</f>
        <v>0</v>
      </c>
      <c r="F38" s="87">
        <f>F26+F33+F35</f>
        <v>29177032.548662838</v>
      </c>
      <c r="G38" s="87">
        <f>G26+G33+G35</f>
        <v>1324510358.2302027</v>
      </c>
      <c r="H38" s="44">
        <f>H26+H33+H35</f>
        <v>1362477485.9410834</v>
      </c>
      <c r="I38" s="18">
        <f>+H38-D38</f>
        <v>67144160.25954342</v>
      </c>
      <c r="J38" s="48">
        <f>+I38/G38</f>
        <v>0.05069357128264423</v>
      </c>
      <c r="K38" s="44">
        <f>K26+K33+K35</f>
        <v>0</v>
      </c>
      <c r="L38" s="130">
        <f>L26+L33+L35</f>
        <v>0</v>
      </c>
      <c r="M38" s="18">
        <f>L38-K38</f>
        <v>0</v>
      </c>
      <c r="N38" s="48">
        <f>M38/G38</f>
        <v>0</v>
      </c>
      <c r="O38" s="44">
        <f>O26+O33+O35</f>
        <v>29177032.548662838</v>
      </c>
      <c r="P38" s="18">
        <f>P26+P33+P35</f>
        <v>0</v>
      </c>
      <c r="Q38" s="18">
        <f>P38-O38</f>
        <v>-29177032.548662838</v>
      </c>
      <c r="R38" s="48">
        <f>+Q38/G38</f>
        <v>-0.022028542372178116</v>
      </c>
      <c r="S38" s="44">
        <f>S26+S33+S35</f>
        <v>1362477485.9410834</v>
      </c>
      <c r="T38" s="18">
        <f>S38-G38</f>
        <v>37967127.71088076</v>
      </c>
      <c r="U38" s="48">
        <f>T38/G38</f>
        <v>0.02866502891046624</v>
      </c>
    </row>
    <row r="39" spans="1:21" ht="12.75">
      <c r="A39">
        <f t="shared" si="0"/>
        <v>36</v>
      </c>
      <c r="B39" s="39"/>
      <c r="C39" s="19"/>
      <c r="D39" s="88"/>
      <c r="E39" s="88"/>
      <c r="F39" s="88"/>
      <c r="G39" s="88"/>
      <c r="H39" s="45"/>
      <c r="I39" s="20"/>
      <c r="J39" s="63"/>
      <c r="K39" s="45"/>
      <c r="L39" s="20"/>
      <c r="M39" s="20"/>
      <c r="N39" s="63"/>
      <c r="O39" s="45"/>
      <c r="P39" s="20"/>
      <c r="Q39" s="20"/>
      <c r="R39" s="63"/>
      <c r="S39" s="45"/>
      <c r="T39" s="20"/>
      <c r="U39" s="63"/>
    </row>
    <row r="40" spans="1:21" ht="12.75">
      <c r="A40">
        <f t="shared" si="0"/>
        <v>37</v>
      </c>
      <c r="B40" s="24" t="s">
        <v>16</v>
      </c>
      <c r="C40" s="19">
        <v>29.522</v>
      </c>
      <c r="D40" s="88">
        <f>database!I42</f>
        <v>1943419</v>
      </c>
      <c r="E40" s="88">
        <v>0</v>
      </c>
      <c r="F40" s="88">
        <f>+database!G42</f>
        <v>0</v>
      </c>
      <c r="G40" s="88">
        <f>D40+E40+F40</f>
        <v>1943419</v>
      </c>
      <c r="H40" s="45">
        <f>database!K42</f>
        <v>1943419</v>
      </c>
      <c r="I40" s="20">
        <f>+H40-D40</f>
        <v>0</v>
      </c>
      <c r="J40" s="63">
        <v>0</v>
      </c>
      <c r="K40" s="45">
        <f>E40</f>
        <v>0</v>
      </c>
      <c r="L40" s="20">
        <v>0</v>
      </c>
      <c r="M40" s="20">
        <f>L40-K40</f>
        <v>0</v>
      </c>
      <c r="N40" s="62">
        <f>M40/G40</f>
        <v>0</v>
      </c>
      <c r="O40" s="45">
        <f>F40</f>
        <v>0</v>
      </c>
      <c r="P40" s="20">
        <v>0</v>
      </c>
      <c r="Q40" s="20">
        <f>P40-O40</f>
        <v>0</v>
      </c>
      <c r="R40" s="62">
        <f>+Q40/G40</f>
        <v>0</v>
      </c>
      <c r="S40" s="45">
        <f>+H40+L40+P40</f>
        <v>1943419</v>
      </c>
      <c r="T40" s="20">
        <f>S40-G40</f>
        <v>0</v>
      </c>
      <c r="U40" s="63">
        <f>T40/G40</f>
        <v>0</v>
      </c>
    </row>
    <row r="41" spans="1:21" ht="12.75">
      <c r="A41">
        <f t="shared" si="0"/>
        <v>38</v>
      </c>
      <c r="B41" s="24"/>
      <c r="C41" s="19"/>
      <c r="D41" s="88"/>
      <c r="E41" s="88"/>
      <c r="F41" s="88"/>
      <c r="G41" s="88"/>
      <c r="H41" s="45"/>
      <c r="I41" s="20"/>
      <c r="J41" s="63"/>
      <c r="K41" s="45"/>
      <c r="L41" s="20"/>
      <c r="M41" s="20"/>
      <c r="N41" s="63"/>
      <c r="O41" s="45"/>
      <c r="P41" s="20"/>
      <c r="Q41" s="20"/>
      <c r="R41" s="63"/>
      <c r="S41" s="45"/>
      <c r="T41" s="20"/>
      <c r="U41" s="63"/>
    </row>
    <row r="42" spans="1:21" ht="12.75">
      <c r="A42">
        <f t="shared" si="0"/>
        <v>39</v>
      </c>
      <c r="B42" s="37" t="s">
        <v>17</v>
      </c>
      <c r="C42" s="17">
        <f aca="true" t="shared" si="9" ref="C42:H42">C38+C40</f>
        <v>10029.303856</v>
      </c>
      <c r="D42" s="87">
        <f t="shared" si="9"/>
        <v>1297276744.68154</v>
      </c>
      <c r="E42" s="87">
        <f t="shared" si="9"/>
        <v>0</v>
      </c>
      <c r="F42" s="87">
        <f t="shared" si="9"/>
        <v>29177032.548662838</v>
      </c>
      <c r="G42" s="87">
        <f t="shared" si="9"/>
        <v>1326453777.2302027</v>
      </c>
      <c r="H42" s="44">
        <f t="shared" si="9"/>
        <v>1364420904.9410834</v>
      </c>
      <c r="I42" s="18">
        <f>+H42-D42</f>
        <v>67144160.25954342</v>
      </c>
      <c r="J42" s="48">
        <f>+I42/G42</f>
        <v>0.05061929892479828</v>
      </c>
      <c r="K42" s="44">
        <f>K38+K40</f>
        <v>0</v>
      </c>
      <c r="L42" s="18">
        <f>L38+L40</f>
        <v>0</v>
      </c>
      <c r="M42" s="18">
        <f>L42-K42</f>
        <v>0</v>
      </c>
      <c r="N42" s="48">
        <f>M42/G42</f>
        <v>0</v>
      </c>
      <c r="O42" s="44">
        <f>O38+O40</f>
        <v>29177032.548662838</v>
      </c>
      <c r="P42" s="18">
        <f>P38+P40</f>
        <v>0</v>
      </c>
      <c r="Q42" s="18">
        <f>P42-O42</f>
        <v>-29177032.548662838</v>
      </c>
      <c r="R42" s="48">
        <f>+Q42/G42</f>
        <v>-0.021996267830446413</v>
      </c>
      <c r="S42" s="44">
        <f>S38+S40</f>
        <v>1364420904.9410834</v>
      </c>
      <c r="T42" s="18">
        <f>S42-G42</f>
        <v>37967127.71088076</v>
      </c>
      <c r="U42" s="48">
        <f>T42/G42</f>
        <v>0.028623031094352002</v>
      </c>
    </row>
    <row r="43" spans="1:21" ht="12.75">
      <c r="A43">
        <f t="shared" si="0"/>
        <v>40</v>
      </c>
      <c r="B43" s="24"/>
      <c r="C43" s="19"/>
      <c r="D43" s="88"/>
      <c r="E43" s="88"/>
      <c r="F43" s="88"/>
      <c r="G43" s="88"/>
      <c r="H43" s="45"/>
      <c r="I43" s="20"/>
      <c r="J43" s="63"/>
      <c r="K43" s="45"/>
      <c r="L43" s="20"/>
      <c r="M43" s="20"/>
      <c r="N43" s="63"/>
      <c r="O43" s="45"/>
      <c r="P43" s="20"/>
      <c r="Q43" s="20"/>
      <c r="R43" s="63"/>
      <c r="S43" s="45"/>
      <c r="T43" s="20"/>
      <c r="U43" s="63"/>
    </row>
    <row r="44" spans="1:21" ht="12.75">
      <c r="A44">
        <f t="shared" si="0"/>
        <v>41</v>
      </c>
      <c r="B44" s="39" t="s">
        <v>37</v>
      </c>
      <c r="C44" s="19">
        <f>709.715936+0.914</f>
        <v>710.629936</v>
      </c>
      <c r="D44" s="88">
        <f>database!I49</f>
        <v>23145757.17</v>
      </c>
      <c r="E44" s="88">
        <v>0</v>
      </c>
      <c r="F44" s="88">
        <v>0</v>
      </c>
      <c r="G44" s="88">
        <f>D44+E44+F44</f>
        <v>23145757.17</v>
      </c>
      <c r="H44" s="45">
        <f>database!K49</f>
        <v>23479095.05891397</v>
      </c>
      <c r="I44" s="20">
        <f>+H44-D44</f>
        <v>333337.8889139667</v>
      </c>
      <c r="J44" s="62">
        <f>+I44/G44</f>
        <v>0.014401684354747195</v>
      </c>
      <c r="K44" s="45">
        <f>E44</f>
        <v>0</v>
      </c>
      <c r="L44" s="20">
        <v>0</v>
      </c>
      <c r="M44" s="20">
        <f>L44-K44</f>
        <v>0</v>
      </c>
      <c r="N44" s="62">
        <f>M44/G44</f>
        <v>0</v>
      </c>
      <c r="O44" s="45">
        <f>F44</f>
        <v>0</v>
      </c>
      <c r="P44" s="20">
        <v>0</v>
      </c>
      <c r="Q44" s="20">
        <f>P44-O44</f>
        <v>0</v>
      </c>
      <c r="R44" s="62">
        <f>+Q44/G44</f>
        <v>0</v>
      </c>
      <c r="S44" s="45">
        <f>+H44+L44+P44</f>
        <v>23479095.05891397</v>
      </c>
      <c r="T44" s="20">
        <f>S44-G44</f>
        <v>333337.8889139667</v>
      </c>
      <c r="U44" s="63">
        <f>T44/G44</f>
        <v>0.014401684354747195</v>
      </c>
    </row>
    <row r="45" spans="1:21" ht="12.75">
      <c r="A45">
        <f t="shared" si="0"/>
        <v>42</v>
      </c>
      <c r="B45" s="24"/>
      <c r="C45" s="19"/>
      <c r="D45" s="88"/>
      <c r="E45" s="88"/>
      <c r="F45" s="88"/>
      <c r="G45" s="88"/>
      <c r="H45" s="45"/>
      <c r="I45" s="20"/>
      <c r="J45" s="63"/>
      <c r="K45" s="45"/>
      <c r="L45" s="20"/>
      <c r="M45" s="20"/>
      <c r="N45" s="63"/>
      <c r="O45" s="45"/>
      <c r="P45" s="20"/>
      <c r="Q45" s="20"/>
      <c r="R45" s="63"/>
      <c r="S45" s="45"/>
      <c r="T45" s="20"/>
      <c r="U45" s="63"/>
    </row>
    <row r="46" spans="1:21" ht="12.75">
      <c r="A46">
        <f t="shared" si="0"/>
        <v>43</v>
      </c>
      <c r="B46" s="36" t="s">
        <v>35</v>
      </c>
      <c r="C46" s="17">
        <f aca="true" t="shared" si="10" ref="C46:H46">C42+C44</f>
        <v>10739.933792</v>
      </c>
      <c r="D46" s="90">
        <f t="shared" si="10"/>
        <v>1320422501.85154</v>
      </c>
      <c r="E46" s="90">
        <f t="shared" si="10"/>
        <v>0</v>
      </c>
      <c r="F46" s="90">
        <f t="shared" si="10"/>
        <v>29177032.548662838</v>
      </c>
      <c r="G46" s="90">
        <f t="shared" si="10"/>
        <v>1349599534.4002028</v>
      </c>
      <c r="H46" s="47">
        <f t="shared" si="10"/>
        <v>1387899999.9999974</v>
      </c>
      <c r="I46" s="23">
        <f>+H46-D46</f>
        <v>67477498.14845729</v>
      </c>
      <c r="J46" s="48">
        <f>+I46/G46</f>
        <v>0.04999816347628339</v>
      </c>
      <c r="K46" s="47">
        <f>K42+K44</f>
        <v>0</v>
      </c>
      <c r="L46" s="23">
        <f>L42+L44</f>
        <v>0</v>
      </c>
      <c r="M46" s="18">
        <f>L46-K46</f>
        <v>0</v>
      </c>
      <c r="N46" s="48">
        <f>M46/G46</f>
        <v>0</v>
      </c>
      <c r="O46" s="47">
        <f>O42+O44</f>
        <v>29177032.548662838</v>
      </c>
      <c r="P46" s="23">
        <f>P42+P44</f>
        <v>0</v>
      </c>
      <c r="Q46" s="18">
        <f>P46-O46</f>
        <v>-29177032.548662838</v>
      </c>
      <c r="R46" s="48">
        <f>+Q46/G46</f>
        <v>-0.0216190297973316</v>
      </c>
      <c r="S46" s="44">
        <f>S42+S44</f>
        <v>1387899999.9999974</v>
      </c>
      <c r="T46" s="23">
        <f>S46-G46</f>
        <v>38300465.599794626</v>
      </c>
      <c r="U46" s="48">
        <f>T46/G46</f>
        <v>0.02837913367895192</v>
      </c>
    </row>
    <row r="47" spans="1:21" ht="12.75">
      <c r="A47">
        <f t="shared" si="0"/>
        <v>44</v>
      </c>
      <c r="B47" s="42"/>
      <c r="C47" s="8"/>
      <c r="D47" s="9"/>
      <c r="E47" s="9"/>
      <c r="F47" s="81"/>
      <c r="G47" s="81"/>
      <c r="H47" s="8"/>
      <c r="I47" s="9"/>
      <c r="J47" s="64"/>
      <c r="K47" s="8"/>
      <c r="L47" s="9"/>
      <c r="M47" s="9"/>
      <c r="N47" s="64"/>
      <c r="O47" s="8"/>
      <c r="P47" s="9"/>
      <c r="Q47" s="9"/>
      <c r="R47" s="64"/>
      <c r="S47" s="8"/>
      <c r="T47" s="9"/>
      <c r="U47" s="64"/>
    </row>
    <row r="48" spans="1:18" ht="12.75">
      <c r="A48">
        <f t="shared" si="0"/>
        <v>45</v>
      </c>
      <c r="F48" s="82"/>
      <c r="G48" s="91"/>
      <c r="I48" s="65"/>
      <c r="J48" s="85"/>
      <c r="N48" s="85"/>
      <c r="R48" s="85"/>
    </row>
    <row r="49" spans="1:21" ht="12.75">
      <c r="A49">
        <f t="shared" si="0"/>
        <v>46</v>
      </c>
      <c r="B49" t="s">
        <v>99</v>
      </c>
      <c r="F49" s="82"/>
      <c r="G49" s="131"/>
      <c r="H49" s="65"/>
      <c r="J49" s="85"/>
      <c r="N49" s="85"/>
      <c r="P49" s="65"/>
      <c r="R49" s="85"/>
      <c r="S49" s="65"/>
      <c r="T49" s="74"/>
      <c r="U49" s="85"/>
    </row>
    <row r="50" spans="6:21" ht="12.75">
      <c r="F50" s="82"/>
      <c r="G50" s="98"/>
      <c r="H50" s="65"/>
      <c r="J50" s="85"/>
      <c r="N50" s="85"/>
      <c r="R50" s="85"/>
      <c r="T50" s="74"/>
      <c r="U50" s="85"/>
    </row>
    <row r="51" spans="3:21" ht="12.75">
      <c r="C51" s="96"/>
      <c r="D51" s="99"/>
      <c r="E51" s="99"/>
      <c r="F51" s="99"/>
      <c r="G51" s="99"/>
      <c r="H51" s="99"/>
      <c r="I51" s="99"/>
      <c r="J51" s="85"/>
      <c r="N51" s="85"/>
      <c r="P51" s="65"/>
      <c r="R51" s="85"/>
      <c r="U51" s="85"/>
    </row>
    <row r="52" spans="2:21" ht="12.75">
      <c r="B52" s="95"/>
      <c r="C52" s="96"/>
      <c r="D52" s="99"/>
      <c r="E52" s="99"/>
      <c r="F52" s="99"/>
      <c r="G52" s="99"/>
      <c r="H52" s="99"/>
      <c r="I52" s="99"/>
      <c r="J52" s="85"/>
      <c r="N52" s="85"/>
      <c r="P52" s="65"/>
      <c r="R52" s="85"/>
      <c r="T52" s="74"/>
      <c r="U52" s="85"/>
    </row>
    <row r="53" spans="2:20" ht="12.75">
      <c r="B53" s="95"/>
      <c r="F53" s="82"/>
      <c r="G53" s="91"/>
      <c r="I53" s="65"/>
      <c r="J53" s="85"/>
      <c r="N53" s="85"/>
      <c r="P53" s="65"/>
      <c r="R53" s="85"/>
      <c r="T53" s="74"/>
    </row>
    <row r="54" spans="2:20" ht="12.75">
      <c r="B54" s="95"/>
      <c r="F54" s="82"/>
      <c r="G54" s="91"/>
      <c r="I54" s="99"/>
      <c r="J54" s="85"/>
      <c r="N54" s="85"/>
      <c r="P54" s="96"/>
      <c r="T54" s="74"/>
    </row>
    <row r="55" spans="6:16" ht="12.75">
      <c r="F55" s="82"/>
      <c r="G55" s="91"/>
      <c r="J55" s="85"/>
      <c r="N55" s="85"/>
      <c r="P55" s="65"/>
    </row>
    <row r="56" spans="6:14" ht="12.75">
      <c r="F56" s="82"/>
      <c r="G56" s="91"/>
      <c r="J56" s="85"/>
      <c r="N56" s="85"/>
    </row>
    <row r="57" spans="6:14" ht="12.75">
      <c r="F57" s="82"/>
      <c r="J57" s="85"/>
      <c r="N57" s="85"/>
    </row>
    <row r="58" spans="10:14" ht="12.75">
      <c r="J58" s="85"/>
      <c r="N58" s="85"/>
    </row>
    <row r="59" spans="10:14" ht="12.75">
      <c r="J59" s="85"/>
      <c r="N59" s="85"/>
    </row>
    <row r="60" spans="10:14" ht="12.75">
      <c r="J60" s="85"/>
      <c r="N60" s="85"/>
    </row>
    <row r="61" spans="10:14" ht="12.75">
      <c r="J61" s="85"/>
      <c r="N61" s="85"/>
    </row>
    <row r="62" ht="12.75">
      <c r="J62" s="85"/>
    </row>
    <row r="63" ht="12.75">
      <c r="J63" s="85"/>
    </row>
    <row r="64" ht="12.75">
      <c r="J64" s="85"/>
    </row>
    <row r="65" ht="12.75">
      <c r="J65" s="85"/>
    </row>
    <row r="66" ht="12.75">
      <c r="J66" s="85"/>
    </row>
  </sheetData>
  <sheetProtection/>
  <mergeCells count="5">
    <mergeCell ref="S3:U3"/>
    <mergeCell ref="H3:J3"/>
    <mergeCell ref="K3:N3"/>
    <mergeCell ref="O3:R3"/>
    <mergeCell ref="B2:U2"/>
  </mergeCells>
  <printOptions/>
  <pageMargins left="0.2" right="0.2" top="0.23" bottom="0.23" header="0.17" footer="0.17"/>
  <pageSetup fitToHeight="1" fitToWidth="1" horizontalDpi="600" verticalDpi="600" orientation="landscape" paperSize="3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bestFit="1" customWidth="1"/>
    <col min="4" max="4" width="16.421875" style="0" bestFit="1" customWidth="1"/>
    <col min="5" max="5" width="9.7109375" style="0" customWidth="1"/>
    <col min="6" max="6" width="12.7109375" style="0" bestFit="1" customWidth="1"/>
    <col min="7" max="7" width="17.00390625" style="0" bestFit="1" customWidth="1"/>
    <col min="8" max="9" width="14.421875" style="0" bestFit="1" customWidth="1"/>
    <col min="10" max="10" width="10.57421875" style="0" customWidth="1"/>
    <col min="11" max="11" width="7.8515625" style="0" customWidth="1"/>
    <col min="12" max="12" width="11.7109375" style="0" bestFit="1" customWidth="1"/>
    <col min="13" max="13" width="12.28125" style="0" bestFit="1" customWidth="1"/>
    <col min="14" max="14" width="9.7109375" style="0" bestFit="1" customWidth="1"/>
    <col min="15" max="15" width="14.421875" style="0" bestFit="1" customWidth="1"/>
    <col min="16" max="16" width="11.7109375" style="0" customWidth="1"/>
    <col min="17" max="17" width="12.28125" style="0" bestFit="1" customWidth="1"/>
    <col min="18" max="18" width="9.57421875" style="0" bestFit="1" customWidth="1"/>
    <col min="19" max="20" width="14.421875" style="0" bestFit="1" customWidth="1"/>
    <col min="21" max="21" width="8.7109375" style="0" bestFit="1" customWidth="1"/>
  </cols>
  <sheetData>
    <row r="1" ht="28.5" customHeight="1"/>
    <row r="2" spans="2:21" ht="18">
      <c r="B2" s="177" t="s">
        <v>108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65.25" customHeight="1">
      <c r="A3">
        <v>1</v>
      </c>
      <c r="B3" s="53" t="s">
        <v>20</v>
      </c>
      <c r="C3" s="72" t="s">
        <v>87</v>
      </c>
      <c r="D3" s="73" t="s">
        <v>88</v>
      </c>
      <c r="E3" s="73" t="s">
        <v>96</v>
      </c>
      <c r="F3" s="73" t="s">
        <v>89</v>
      </c>
      <c r="G3" s="73" t="s">
        <v>90</v>
      </c>
      <c r="H3" s="174" t="s">
        <v>107</v>
      </c>
      <c r="I3" s="175"/>
      <c r="J3" s="176"/>
      <c r="K3" s="174" t="s">
        <v>38</v>
      </c>
      <c r="L3" s="175"/>
      <c r="M3" s="175"/>
      <c r="N3" s="176"/>
      <c r="O3" s="171" t="s">
        <v>39</v>
      </c>
      <c r="P3" s="172"/>
      <c r="Q3" s="172"/>
      <c r="R3" s="173"/>
      <c r="S3" s="171" t="s">
        <v>98</v>
      </c>
      <c r="T3" s="172"/>
      <c r="U3" s="173"/>
    </row>
    <row r="4" spans="1:21" ht="20.25">
      <c r="A4">
        <f>A3+1</f>
        <v>2</v>
      </c>
      <c r="B4" s="101" t="s">
        <v>66</v>
      </c>
      <c r="C4" s="101" t="s">
        <v>27</v>
      </c>
      <c r="D4" s="102" t="s">
        <v>31</v>
      </c>
      <c r="E4" s="102" t="s">
        <v>28</v>
      </c>
      <c r="F4" s="102" t="s">
        <v>29</v>
      </c>
      <c r="G4" s="121" t="s">
        <v>30</v>
      </c>
      <c r="H4" s="101" t="s">
        <v>52</v>
      </c>
      <c r="I4" s="102" t="s">
        <v>53</v>
      </c>
      <c r="J4" s="103" t="s">
        <v>67</v>
      </c>
      <c r="K4" s="101" t="s">
        <v>54</v>
      </c>
      <c r="L4" s="102" t="s">
        <v>60</v>
      </c>
      <c r="M4" s="102" t="s">
        <v>61</v>
      </c>
      <c r="N4" s="103" t="s">
        <v>68</v>
      </c>
      <c r="O4" s="101" t="s">
        <v>55</v>
      </c>
      <c r="P4" s="102" t="s">
        <v>56</v>
      </c>
      <c r="Q4" s="102" t="s">
        <v>57</v>
      </c>
      <c r="R4" s="103" t="s">
        <v>58</v>
      </c>
      <c r="S4" s="101" t="s">
        <v>59</v>
      </c>
      <c r="T4" s="102" t="s">
        <v>69</v>
      </c>
      <c r="U4" s="103" t="s">
        <v>62</v>
      </c>
    </row>
    <row r="5" spans="1:21" ht="63.75">
      <c r="A5">
        <f aca="true" t="shared" si="0" ref="A5:A50">A4+1</f>
        <v>3</v>
      </c>
      <c r="B5" s="58"/>
      <c r="C5" s="59"/>
      <c r="D5" s="69"/>
      <c r="E5" s="69"/>
      <c r="F5" s="69"/>
      <c r="G5" s="69"/>
      <c r="H5" s="75" t="s">
        <v>32</v>
      </c>
      <c r="I5" s="76" t="s">
        <v>34</v>
      </c>
      <c r="J5" s="77" t="s">
        <v>51</v>
      </c>
      <c r="K5" s="79" t="s">
        <v>76</v>
      </c>
      <c r="L5" s="78" t="s">
        <v>97</v>
      </c>
      <c r="M5" s="78" t="s">
        <v>33</v>
      </c>
      <c r="N5" s="77" t="s">
        <v>51</v>
      </c>
      <c r="O5" s="79" t="s">
        <v>76</v>
      </c>
      <c r="P5" s="78" t="s">
        <v>97</v>
      </c>
      <c r="Q5" s="78" t="s">
        <v>33</v>
      </c>
      <c r="R5" s="77" t="s">
        <v>51</v>
      </c>
      <c r="S5" s="79" t="s">
        <v>32</v>
      </c>
      <c r="T5" s="80" t="s">
        <v>33</v>
      </c>
      <c r="U5" s="77" t="s">
        <v>51</v>
      </c>
    </row>
    <row r="6" spans="1:21" ht="12.75">
      <c r="A6">
        <f t="shared" si="0"/>
        <v>4</v>
      </c>
      <c r="B6" s="37" t="s">
        <v>21</v>
      </c>
      <c r="C6" s="12"/>
      <c r="D6" s="11"/>
      <c r="E6" s="11"/>
      <c r="F6" s="70"/>
      <c r="G6" s="11"/>
      <c r="H6" s="33"/>
      <c r="I6" s="1"/>
      <c r="J6" s="34"/>
      <c r="K6" s="68"/>
      <c r="L6" s="1"/>
      <c r="M6" s="1"/>
      <c r="N6" s="86"/>
      <c r="O6" s="33"/>
      <c r="P6" s="1"/>
      <c r="Q6" s="1"/>
      <c r="R6" s="34"/>
      <c r="S6" s="35"/>
      <c r="T6" s="16"/>
      <c r="U6" s="34"/>
    </row>
    <row r="7" spans="1:22" ht="12.75">
      <c r="A7">
        <f t="shared" si="0"/>
        <v>5</v>
      </c>
      <c r="B7" s="38" t="s">
        <v>8</v>
      </c>
      <c r="C7" s="17">
        <v>4257.229617</v>
      </c>
      <c r="D7" s="87">
        <f>database!J7</f>
        <v>623421598.8704519</v>
      </c>
      <c r="E7" s="87">
        <v>0</v>
      </c>
      <c r="F7" s="87">
        <f>database!G7</f>
        <v>11528175.200903017</v>
      </c>
      <c r="G7" s="87">
        <f>D7+E7+F7</f>
        <v>634949774.071355</v>
      </c>
      <c r="H7" s="134">
        <f>D7+I7</f>
        <v>653998267.2934958</v>
      </c>
      <c r="I7" s="87">
        <f>G7*J7</f>
        <v>30576668.423043877</v>
      </c>
      <c r="J7" s="48">
        <v>0.048156042685051345</v>
      </c>
      <c r="K7" s="44">
        <f>E7</f>
        <v>0</v>
      </c>
      <c r="L7" s="18">
        <v>0</v>
      </c>
      <c r="M7" s="18">
        <f>L7-K7</f>
        <v>0</v>
      </c>
      <c r="N7" s="48">
        <f>M7/G7</f>
        <v>0</v>
      </c>
      <c r="O7" s="44">
        <f>F7</f>
        <v>11528175.200903017</v>
      </c>
      <c r="P7" s="18">
        <v>0</v>
      </c>
      <c r="Q7" s="18">
        <f>P7-O7</f>
        <v>-11528175.200903017</v>
      </c>
      <c r="R7" s="48">
        <f>+Q7/G7</f>
        <v>-0.018156042685051013</v>
      </c>
      <c r="S7" s="44">
        <f>+H7+L7+P7</f>
        <v>653998267.2934958</v>
      </c>
      <c r="T7" s="18">
        <f>S7-G7</f>
        <v>19048493.22214079</v>
      </c>
      <c r="U7" s="48">
        <f>T7/G7</f>
        <v>0.03000000000000022</v>
      </c>
      <c r="V7" s="85"/>
    </row>
    <row r="8" spans="1:21" ht="12.75">
      <c r="A8">
        <f t="shared" si="0"/>
        <v>6</v>
      </c>
      <c r="B8" s="39"/>
      <c r="C8" s="19"/>
      <c r="D8" s="88"/>
      <c r="E8" s="88"/>
      <c r="F8" s="88"/>
      <c r="G8" s="88"/>
      <c r="H8" s="135"/>
      <c r="I8" s="88"/>
      <c r="J8" s="63"/>
      <c r="K8" s="45"/>
      <c r="L8" s="20"/>
      <c r="M8" s="20"/>
      <c r="N8" s="63"/>
      <c r="O8" s="45"/>
      <c r="P8" s="20"/>
      <c r="Q8" s="20"/>
      <c r="R8" s="63"/>
      <c r="S8" s="45"/>
      <c r="T8" s="20"/>
      <c r="U8" s="63"/>
    </row>
    <row r="9" spans="1:21" ht="12.75">
      <c r="A9">
        <f t="shared" si="0"/>
        <v>7</v>
      </c>
      <c r="B9" s="54" t="s">
        <v>0</v>
      </c>
      <c r="C9" s="19">
        <v>229.385524</v>
      </c>
      <c r="D9" s="88">
        <f>database!J9</f>
        <v>33148114.468964506</v>
      </c>
      <c r="E9" s="88">
        <v>0</v>
      </c>
      <c r="F9" s="88">
        <f>database!G9</f>
        <v>663039.8340477052</v>
      </c>
      <c r="G9" s="88">
        <f>D9+E9+F9</f>
        <v>33811154.303012215</v>
      </c>
      <c r="H9" s="135">
        <f>D9+I9</f>
        <v>34825488.93210259</v>
      </c>
      <c r="I9" s="88">
        <f>G9*J9</f>
        <v>1677374.4631380816</v>
      </c>
      <c r="J9" s="63">
        <v>0.049610091631466284</v>
      </c>
      <c r="K9" s="45">
        <f>E9</f>
        <v>0</v>
      </c>
      <c r="L9" s="20">
        <v>0</v>
      </c>
      <c r="M9" s="20">
        <f>L9-K9</f>
        <v>0</v>
      </c>
      <c r="N9" s="62">
        <f>M9/G9</f>
        <v>0</v>
      </c>
      <c r="O9" s="45">
        <f>F9</f>
        <v>663039.8340477052</v>
      </c>
      <c r="P9" s="20">
        <v>0</v>
      </c>
      <c r="Q9" s="20">
        <f>P9-O9</f>
        <v>-663039.8340477052</v>
      </c>
      <c r="R9" s="62">
        <f>+Q9/G9</f>
        <v>-0.01961009163146599</v>
      </c>
      <c r="S9" s="45">
        <f>+H9+L9+P9</f>
        <v>34825488.93210259</v>
      </c>
      <c r="T9" s="20">
        <f>S9-G9</f>
        <v>1014334.6290903762</v>
      </c>
      <c r="U9" s="63">
        <f>T9/G9</f>
        <v>0.03000000000000029</v>
      </c>
    </row>
    <row r="10" spans="1:21" ht="12.75">
      <c r="A10">
        <f t="shared" si="0"/>
        <v>8</v>
      </c>
      <c r="B10" s="39" t="s">
        <v>9</v>
      </c>
      <c r="C10" s="19">
        <v>2433.008693</v>
      </c>
      <c r="D10" s="88">
        <f>database!J10</f>
        <v>293286628.45813966</v>
      </c>
      <c r="E10" s="88">
        <v>0</v>
      </c>
      <c r="F10" s="88">
        <f>database!G10</f>
        <v>7640243.683163606</v>
      </c>
      <c r="G10" s="88">
        <f>D10+E10+F10</f>
        <v>300926872.14130324</v>
      </c>
      <c r="H10" s="135">
        <f>D10+I10</f>
        <v>309954678.3055424</v>
      </c>
      <c r="I10" s="88">
        <f>G10*J10</f>
        <v>16668049.847402733</v>
      </c>
      <c r="J10" s="63">
        <v>0.05538903763827407</v>
      </c>
      <c r="K10" s="45">
        <f>E10</f>
        <v>0</v>
      </c>
      <c r="L10" s="20">
        <v>0</v>
      </c>
      <c r="M10" s="20">
        <f>L10-K10</f>
        <v>0</v>
      </c>
      <c r="N10" s="62">
        <f>M10/G10</f>
        <v>0</v>
      </c>
      <c r="O10" s="45">
        <f>F10</f>
        <v>7640243.683163606</v>
      </c>
      <c r="P10" s="20">
        <v>0</v>
      </c>
      <c r="Q10" s="20">
        <f>P10-O10</f>
        <v>-7640243.683163606</v>
      </c>
      <c r="R10" s="62">
        <f>+Q10/G10</f>
        <v>-0.025389037638273968</v>
      </c>
      <c r="S10" s="45">
        <f>+H10+L10+P10</f>
        <v>309954678.3055424</v>
      </c>
      <c r="T10" s="20">
        <f>S10-G10</f>
        <v>9027806.164239168</v>
      </c>
      <c r="U10" s="63">
        <f>T10/G10</f>
        <v>0.030000000000000235</v>
      </c>
    </row>
    <row r="11" spans="1:21" ht="12.75">
      <c r="A11">
        <f t="shared" si="0"/>
        <v>9</v>
      </c>
      <c r="B11" s="55" t="s">
        <v>1</v>
      </c>
      <c r="C11" s="21">
        <v>386.956179</v>
      </c>
      <c r="D11" s="89">
        <f>database!J11</f>
        <v>39770145.45750196</v>
      </c>
      <c r="E11" s="89">
        <v>0</v>
      </c>
      <c r="F11" s="89">
        <f>database!G11</f>
        <v>1341147.4854338877</v>
      </c>
      <c r="G11" s="89">
        <f>D11+E11+F11</f>
        <v>41111292.942935854</v>
      </c>
      <c r="H11" s="136">
        <f>D11+I11</f>
        <v>42344631.731223926</v>
      </c>
      <c r="I11" s="89">
        <f>G11*J11</f>
        <v>2574486.273721967</v>
      </c>
      <c r="J11" s="57">
        <v>0.06262236211581715</v>
      </c>
      <c r="K11" s="46">
        <f>E11</f>
        <v>0</v>
      </c>
      <c r="L11" s="22">
        <v>0</v>
      </c>
      <c r="M11" s="22">
        <f>L11-K11</f>
        <v>0</v>
      </c>
      <c r="N11" s="67">
        <f>M11/G11</f>
        <v>0</v>
      </c>
      <c r="O11" s="46">
        <f>F11</f>
        <v>1341147.4854338877</v>
      </c>
      <c r="P11" s="22">
        <v>0</v>
      </c>
      <c r="Q11" s="22">
        <f>P11-O11</f>
        <v>-1341147.4854338877</v>
      </c>
      <c r="R11" s="67">
        <f>+Q11/G11</f>
        <v>-0.03262236211581706</v>
      </c>
      <c r="S11" s="46">
        <f>+H11+L11+P11</f>
        <v>42344631.731223926</v>
      </c>
      <c r="T11" s="22">
        <f>S11-G11</f>
        <v>1233338.7882880718</v>
      </c>
      <c r="U11" s="57">
        <f>T11/G11</f>
        <v>0.029999999999999905</v>
      </c>
    </row>
    <row r="12" spans="1:21" ht="12.75">
      <c r="A12">
        <f t="shared" si="0"/>
        <v>10</v>
      </c>
      <c r="B12" s="38" t="s">
        <v>10</v>
      </c>
      <c r="C12" s="17">
        <f aca="true" t="shared" si="1" ref="C12:H12">SUM(C9:C11)</f>
        <v>3049.350396</v>
      </c>
      <c r="D12" s="87">
        <f t="shared" si="1"/>
        <v>366204888.3846061</v>
      </c>
      <c r="E12" s="87">
        <f t="shared" si="1"/>
        <v>0</v>
      </c>
      <c r="F12" s="87">
        <f t="shared" si="1"/>
        <v>9644431.002645198</v>
      </c>
      <c r="G12" s="87">
        <f t="shared" si="1"/>
        <v>375849319.38725126</v>
      </c>
      <c r="H12" s="134">
        <f t="shared" si="1"/>
        <v>387124798.968869</v>
      </c>
      <c r="I12" s="87">
        <f>I9+I10+I11</f>
        <v>20919910.58426278</v>
      </c>
      <c r="J12" s="48">
        <f>I12/G12</f>
        <v>0.05566036575074448</v>
      </c>
      <c r="K12" s="44">
        <f>SUM(K9:K11)</f>
        <v>0</v>
      </c>
      <c r="L12" s="18">
        <f>SUM(L9:L11)</f>
        <v>0</v>
      </c>
      <c r="M12" s="18">
        <f>L12-K12</f>
        <v>0</v>
      </c>
      <c r="N12" s="48">
        <f>M12/G12</f>
        <v>0</v>
      </c>
      <c r="O12" s="44">
        <f>SUM(O9:O11)</f>
        <v>9644431.002645198</v>
      </c>
      <c r="P12" s="18">
        <f>SUM(P9:P11)</f>
        <v>0</v>
      </c>
      <c r="Q12" s="18">
        <f>P12-O12</f>
        <v>-9644431.002645198</v>
      </c>
      <c r="R12" s="48">
        <f>+Q12/G12</f>
        <v>-0.025660365750744353</v>
      </c>
      <c r="S12" s="44">
        <f>SUM(S9:S11)</f>
        <v>387124798.968869</v>
      </c>
      <c r="T12" s="18">
        <f>S12-G12</f>
        <v>11275479.581617713</v>
      </c>
      <c r="U12" s="48">
        <f>T12/G12</f>
        <v>0.030000000000000467</v>
      </c>
    </row>
    <row r="13" spans="1:21" ht="12.75">
      <c r="A13">
        <f t="shared" si="0"/>
        <v>11</v>
      </c>
      <c r="B13" s="39"/>
      <c r="C13" s="19"/>
      <c r="D13" s="88"/>
      <c r="E13" s="88"/>
      <c r="F13" s="88"/>
      <c r="G13" s="88"/>
      <c r="H13" s="135"/>
      <c r="I13" s="88"/>
      <c r="J13" s="63"/>
      <c r="K13" s="45"/>
      <c r="L13" s="20"/>
      <c r="M13" s="20"/>
      <c r="N13" s="63"/>
      <c r="O13" s="45"/>
      <c r="P13" s="20"/>
      <c r="Q13" s="20"/>
      <c r="R13" s="63"/>
      <c r="S13" s="45"/>
      <c r="T13" s="20"/>
      <c r="U13" s="63"/>
    </row>
    <row r="14" spans="1:22" ht="12.75">
      <c r="A14">
        <f t="shared" si="0"/>
        <v>12</v>
      </c>
      <c r="B14" s="39" t="s">
        <v>2</v>
      </c>
      <c r="C14" s="19">
        <v>260.262666</v>
      </c>
      <c r="D14" s="88">
        <f>database!J14</f>
        <v>30276492.807086613</v>
      </c>
      <c r="E14" s="88">
        <v>0</v>
      </c>
      <c r="F14" s="88">
        <f>database!G14</f>
        <v>827566.6761845871</v>
      </c>
      <c r="G14" s="88">
        <f>D14+E14+F14</f>
        <v>31104059.4832712</v>
      </c>
      <c r="H14" s="135">
        <f>D14+I14</f>
        <v>32037181.26776934</v>
      </c>
      <c r="I14" s="88">
        <f>G14*J14</f>
        <v>1760688.460682726</v>
      </c>
      <c r="J14" s="63">
        <v>0.05660638803850292</v>
      </c>
      <c r="K14" s="45">
        <f>E14</f>
        <v>0</v>
      </c>
      <c r="L14" s="20">
        <v>0</v>
      </c>
      <c r="M14" s="20">
        <f>L14-K14</f>
        <v>0</v>
      </c>
      <c r="N14" s="62">
        <f>M14/G14</f>
        <v>0</v>
      </c>
      <c r="O14" s="45">
        <f>F14</f>
        <v>827566.6761845871</v>
      </c>
      <c r="P14" s="20">
        <v>0</v>
      </c>
      <c r="Q14" s="20">
        <f>P14-O14</f>
        <v>-827566.6761845871</v>
      </c>
      <c r="R14" s="62">
        <f>+Q14/G14</f>
        <v>-0.02660638803850282</v>
      </c>
      <c r="S14" s="45">
        <f aca="true" t="shared" si="2" ref="S14:S19">+H14+L14+P14</f>
        <v>32037181.26776934</v>
      </c>
      <c r="T14" s="20">
        <f aca="true" t="shared" si="3" ref="T14:T20">S14-G14</f>
        <v>933121.7844981402</v>
      </c>
      <c r="U14" s="63">
        <f>T14/G14</f>
        <v>0.030000000000000134</v>
      </c>
      <c r="V14" s="85"/>
    </row>
    <row r="15" spans="1:21" ht="12.75">
      <c r="A15">
        <f t="shared" si="0"/>
        <v>13</v>
      </c>
      <c r="B15" s="39" t="s">
        <v>3</v>
      </c>
      <c r="C15" s="19">
        <v>512.810388</v>
      </c>
      <c r="D15" s="88">
        <f>database!J15</f>
        <v>51945620.315645605</v>
      </c>
      <c r="E15" s="88">
        <v>0</v>
      </c>
      <c r="F15" s="88">
        <f>database!G15</f>
        <v>1564646.3316729537</v>
      </c>
      <c r="G15" s="88">
        <f>D15+E15+F15</f>
        <v>53510266.64731856</v>
      </c>
      <c r="H15" s="135">
        <f>D15+I15</f>
        <v>55115574.64673811</v>
      </c>
      <c r="I15" s="88">
        <f>G15*J15</f>
        <v>3169954.331092504</v>
      </c>
      <c r="J15" s="63">
        <v>0.05924011464912692</v>
      </c>
      <c r="K15" s="45">
        <f>E15</f>
        <v>0</v>
      </c>
      <c r="L15" s="20">
        <v>0</v>
      </c>
      <c r="M15" s="20">
        <f>L15-K15</f>
        <v>0</v>
      </c>
      <c r="N15" s="62">
        <f>M15/G15</f>
        <v>0</v>
      </c>
      <c r="O15" s="45">
        <f>F15</f>
        <v>1564646.3316729537</v>
      </c>
      <c r="P15" s="20">
        <v>0</v>
      </c>
      <c r="Q15" s="20">
        <f>P15-O15</f>
        <v>-1564646.3316729537</v>
      </c>
      <c r="R15" s="62">
        <f>+Q15/G15</f>
        <v>-0.029240114649127045</v>
      </c>
      <c r="S15" s="45">
        <f t="shared" si="2"/>
        <v>55115574.64673811</v>
      </c>
      <c r="T15" s="20">
        <f t="shared" si="3"/>
        <v>1605307.999419555</v>
      </c>
      <c r="U15" s="63">
        <f>T15/G15</f>
        <v>0.029999999999999968</v>
      </c>
    </row>
    <row r="16" spans="1:21" s="104" customFormat="1" ht="12.75">
      <c r="A16">
        <f t="shared" si="0"/>
        <v>14</v>
      </c>
      <c r="B16" s="105" t="s">
        <v>70</v>
      </c>
      <c r="C16" s="106">
        <v>228.669798</v>
      </c>
      <c r="D16" s="107">
        <f>database!J16</f>
        <v>20121151.526257418</v>
      </c>
      <c r="E16" s="107">
        <v>0</v>
      </c>
      <c r="F16" s="107">
        <f>database!G16</f>
        <v>747144.0117227418</v>
      </c>
      <c r="G16" s="107">
        <f>D16+E16+F16</f>
        <v>20868295.53798016</v>
      </c>
      <c r="H16" s="137">
        <v>21434037.83615608</v>
      </c>
      <c r="I16" s="107">
        <f>H16-D16</f>
        <v>1312886.3098986633</v>
      </c>
      <c r="J16" s="140">
        <f>I16/G16</f>
        <v>0.06291296323215372</v>
      </c>
      <c r="K16" s="109">
        <f>E16</f>
        <v>0</v>
      </c>
      <c r="L16" s="108">
        <v>0</v>
      </c>
      <c r="M16" s="108">
        <f>L16-K16</f>
        <v>0</v>
      </c>
      <c r="N16" s="110">
        <f>M16/G16</f>
        <v>0</v>
      </c>
      <c r="O16" s="109">
        <f>F16</f>
        <v>747144.0117227418</v>
      </c>
      <c r="P16" s="108">
        <v>0</v>
      </c>
      <c r="Q16" s="108">
        <f>P16-O16</f>
        <v>-747144.0117227418</v>
      </c>
      <c r="R16" s="110">
        <f>+Q16/G16</f>
        <v>-0.03580282876303647</v>
      </c>
      <c r="S16" s="109">
        <f t="shared" si="2"/>
        <v>21434037.83615608</v>
      </c>
      <c r="T16" s="108">
        <f t="shared" si="3"/>
        <v>565742.2981759198</v>
      </c>
      <c r="U16" s="110">
        <f>T16/G16</f>
        <v>0.02711013446911716</v>
      </c>
    </row>
    <row r="17" spans="1:21" s="104" customFormat="1" ht="12.75">
      <c r="A17">
        <f t="shared" si="0"/>
        <v>15</v>
      </c>
      <c r="B17" s="105" t="s">
        <v>71</v>
      </c>
      <c r="C17" s="113">
        <v>693.10233</v>
      </c>
      <c r="D17" s="114">
        <f>database!J17</f>
        <v>59131221.26493932</v>
      </c>
      <c r="E17" s="114">
        <v>0</v>
      </c>
      <c r="F17" s="114">
        <f>database!G17</f>
        <v>2314921.610091774</v>
      </c>
      <c r="G17" s="114">
        <f>D17+E17+F17</f>
        <v>61446142.8750311</v>
      </c>
      <c r="H17" s="138">
        <v>63349833.72924552</v>
      </c>
      <c r="I17" s="107">
        <f>H17-D17</f>
        <v>4218612.464306198</v>
      </c>
      <c r="J17" s="141">
        <f>I17/G17</f>
        <v>0.06865544795685538</v>
      </c>
      <c r="K17" s="116">
        <f>E17</f>
        <v>0</v>
      </c>
      <c r="L17" s="115">
        <v>0</v>
      </c>
      <c r="M17" s="115">
        <f>L17-K17</f>
        <v>0</v>
      </c>
      <c r="N17" s="117">
        <f>M17/G17</f>
        <v>0</v>
      </c>
      <c r="O17" s="116">
        <f>F17</f>
        <v>2314921.610091774</v>
      </c>
      <c r="P17" s="115">
        <v>0</v>
      </c>
      <c r="Q17" s="115">
        <f>P17-O17</f>
        <v>-2314921.610091774</v>
      </c>
      <c r="R17" s="117">
        <f>+Q17/G17</f>
        <v>-0.037673993871346026</v>
      </c>
      <c r="S17" s="116">
        <f t="shared" si="2"/>
        <v>63349833.72924552</v>
      </c>
      <c r="T17" s="115">
        <f t="shared" si="3"/>
        <v>1903690.8542144224</v>
      </c>
      <c r="U17" s="57">
        <f>T17/G17</f>
        <v>0.030981454085509334</v>
      </c>
    </row>
    <row r="18" spans="1:21" ht="12.75">
      <c r="A18">
        <f t="shared" si="0"/>
        <v>16</v>
      </c>
      <c r="B18" s="39" t="s">
        <v>72</v>
      </c>
      <c r="C18" s="19">
        <f>C16+C17</f>
        <v>921.7721280000001</v>
      </c>
      <c r="D18" s="88">
        <f>SUM(D16:D17)</f>
        <v>79252372.79119673</v>
      </c>
      <c r="E18" s="88">
        <f>SUM(E16:E17)</f>
        <v>0</v>
      </c>
      <c r="F18" s="88">
        <f>SUM(F16:F17)</f>
        <v>3062065.6218145154</v>
      </c>
      <c r="G18" s="88">
        <f>G16+G17</f>
        <v>82314438.41301125</v>
      </c>
      <c r="H18" s="138">
        <f>D18+I18</f>
        <v>84783871.56540158</v>
      </c>
      <c r="I18" s="114">
        <f>G18*J18</f>
        <v>5531498.774204855</v>
      </c>
      <c r="J18" s="63">
        <v>0.06719961747719952</v>
      </c>
      <c r="K18" s="45">
        <f>K16+K17</f>
        <v>0</v>
      </c>
      <c r="L18" s="20">
        <f>L16+L17</f>
        <v>0</v>
      </c>
      <c r="M18" s="20">
        <f>M16+M17</f>
        <v>0</v>
      </c>
      <c r="N18" s="62">
        <f>M18/G18</f>
        <v>0</v>
      </c>
      <c r="O18" s="45">
        <f>O16+O17</f>
        <v>3062065.6218145154</v>
      </c>
      <c r="P18" s="20">
        <f>SUM(P16:P17)</f>
        <v>0</v>
      </c>
      <c r="Q18" s="20">
        <f>SUM(Q16:Q17)</f>
        <v>-3062065.6218145154</v>
      </c>
      <c r="R18" s="62">
        <f>+Q18/G18</f>
        <v>-0.0371996174771995</v>
      </c>
      <c r="S18" s="109">
        <f t="shared" si="2"/>
        <v>84783871.56540158</v>
      </c>
      <c r="T18" s="20">
        <f t="shared" si="3"/>
        <v>2469433.152390331</v>
      </c>
      <c r="U18" s="63">
        <f>T18/G18</f>
        <v>0.02999999999999992</v>
      </c>
    </row>
    <row r="19" spans="1:21" ht="12.75">
      <c r="A19">
        <f t="shared" si="0"/>
        <v>17</v>
      </c>
      <c r="B19" s="55" t="s">
        <v>65</v>
      </c>
      <c r="C19" s="21">
        <v>0</v>
      </c>
      <c r="D19" s="89">
        <f>database!I19</f>
        <v>0</v>
      </c>
      <c r="E19" s="89">
        <v>0</v>
      </c>
      <c r="F19" s="89">
        <f>database!G19</f>
        <v>0</v>
      </c>
      <c r="G19" s="89">
        <f>D19+E19+F19</f>
        <v>0</v>
      </c>
      <c r="H19" s="136">
        <f>database!K19</f>
        <v>0</v>
      </c>
      <c r="I19" s="89">
        <f>+H19-D19</f>
        <v>0</v>
      </c>
      <c r="J19" s="129" t="s">
        <v>50</v>
      </c>
      <c r="K19" s="46">
        <f>E19</f>
        <v>0</v>
      </c>
      <c r="L19" s="22">
        <f>database!E19</f>
        <v>0</v>
      </c>
      <c r="M19" s="22">
        <f>L19-K19</f>
        <v>0</v>
      </c>
      <c r="N19" s="129" t="s">
        <v>50</v>
      </c>
      <c r="O19" s="46">
        <f>F19</f>
        <v>0</v>
      </c>
      <c r="P19" s="22">
        <f>database!E19</f>
        <v>0</v>
      </c>
      <c r="Q19" s="22">
        <f>P19-O19</f>
        <v>0</v>
      </c>
      <c r="R19" s="129" t="s">
        <v>50</v>
      </c>
      <c r="S19" s="46">
        <f t="shared" si="2"/>
        <v>0</v>
      </c>
      <c r="T19" s="22">
        <f t="shared" si="3"/>
        <v>0</v>
      </c>
      <c r="U19" s="129" t="s">
        <v>50</v>
      </c>
    </row>
    <row r="20" spans="1:21" ht="12.75">
      <c r="A20">
        <f t="shared" si="0"/>
        <v>18</v>
      </c>
      <c r="B20" s="38" t="s">
        <v>11</v>
      </c>
      <c r="C20" s="17">
        <f aca="true" t="shared" si="4" ref="C20:H20">C14+C15+C18+C19</f>
        <v>1694.845182</v>
      </c>
      <c r="D20" s="87">
        <f t="shared" si="4"/>
        <v>161474485.91392896</v>
      </c>
      <c r="E20" s="87">
        <f t="shared" si="4"/>
        <v>0</v>
      </c>
      <c r="F20" s="87">
        <f t="shared" si="4"/>
        <v>5454278.629672056</v>
      </c>
      <c r="G20" s="87">
        <f t="shared" si="4"/>
        <v>166928764.543601</v>
      </c>
      <c r="H20" s="134">
        <f t="shared" si="4"/>
        <v>171936627.47990903</v>
      </c>
      <c r="I20" s="87">
        <f>I14+I15+I18</f>
        <v>10462141.565980084</v>
      </c>
      <c r="J20" s="48">
        <f>I20/G20</f>
        <v>0.06267428860798537</v>
      </c>
      <c r="K20" s="44">
        <f>K14+K15+K18+K19</f>
        <v>0</v>
      </c>
      <c r="L20" s="18">
        <f>L14+L15+L18+L19</f>
        <v>0</v>
      </c>
      <c r="M20" s="18">
        <f>L20-K20</f>
        <v>0</v>
      </c>
      <c r="N20" s="48">
        <f>M20/G20</f>
        <v>0</v>
      </c>
      <c r="O20" s="44">
        <f>O14+O15+O18+O19</f>
        <v>5454278.629672056</v>
      </c>
      <c r="P20" s="18">
        <f>P14+P15+P18+P19</f>
        <v>0</v>
      </c>
      <c r="Q20" s="18">
        <f>P20-O20</f>
        <v>-5454278.629672056</v>
      </c>
      <c r="R20" s="48">
        <f>+Q20/G20</f>
        <v>-0.03267428860798538</v>
      </c>
      <c r="S20" s="44">
        <f>S14+S15+S18+S19</f>
        <v>171936627.47990903</v>
      </c>
      <c r="T20" s="18">
        <f t="shared" si="3"/>
        <v>5007862.936308026</v>
      </c>
      <c r="U20" s="48">
        <f>T20/G20</f>
        <v>0.029999999999999978</v>
      </c>
    </row>
    <row r="21" spans="1:21" ht="12.75">
      <c r="A21">
        <f t="shared" si="0"/>
        <v>19</v>
      </c>
      <c r="B21" s="39"/>
      <c r="C21" s="19"/>
      <c r="D21" s="88"/>
      <c r="E21" s="88"/>
      <c r="F21" s="88"/>
      <c r="G21" s="88"/>
      <c r="H21" s="135"/>
      <c r="I21" s="88"/>
      <c r="J21" s="63"/>
      <c r="K21" s="45"/>
      <c r="L21" s="20"/>
      <c r="M21" s="20"/>
      <c r="N21" s="63"/>
      <c r="O21" s="45"/>
      <c r="P21" s="20"/>
      <c r="Q21" s="20"/>
      <c r="R21" s="63"/>
      <c r="S21" s="45"/>
      <c r="T21" s="20"/>
      <c r="U21" s="63"/>
    </row>
    <row r="22" spans="1:21" ht="12.75">
      <c r="A22">
        <f t="shared" si="0"/>
        <v>20</v>
      </c>
      <c r="B22" s="39" t="s">
        <v>4</v>
      </c>
      <c r="C22" s="19">
        <v>191.729315</v>
      </c>
      <c r="D22" s="88">
        <f>database!J22</f>
        <v>19730300.226313043</v>
      </c>
      <c r="E22" s="88">
        <v>0</v>
      </c>
      <c r="F22" s="88">
        <f>database!G22</f>
        <v>525575.388646511</v>
      </c>
      <c r="G22" s="88">
        <f>D22+E22+F22</f>
        <v>20255875.614959553</v>
      </c>
      <c r="H22" s="135">
        <f>D22+I22</f>
        <v>20863551.883408338</v>
      </c>
      <c r="I22" s="88">
        <f>G22*J22</f>
        <v>1133251.6570952954</v>
      </c>
      <c r="J22" s="63">
        <v>0.05594681161343409</v>
      </c>
      <c r="K22" s="45">
        <f>E22</f>
        <v>0</v>
      </c>
      <c r="L22" s="20">
        <v>0</v>
      </c>
      <c r="M22" s="20">
        <f>L22-K22</f>
        <v>0</v>
      </c>
      <c r="N22" s="63">
        <f>M22/G22</f>
        <v>0</v>
      </c>
      <c r="O22" s="45">
        <f>F22</f>
        <v>525575.388646511</v>
      </c>
      <c r="P22" s="20">
        <v>0</v>
      </c>
      <c r="Q22" s="20">
        <f>P22-O22</f>
        <v>-525575.388646511</v>
      </c>
      <c r="R22" s="62">
        <f>+Q22/G22</f>
        <v>-0.025946811613434193</v>
      </c>
      <c r="S22" s="45">
        <f>+H22+L22+P22</f>
        <v>20863551.883408338</v>
      </c>
      <c r="T22" s="20">
        <f>S22-G22</f>
        <v>607676.268448785</v>
      </c>
      <c r="U22" s="63">
        <f>T22/G22</f>
        <v>0.02999999999999992</v>
      </c>
    </row>
    <row r="23" spans="1:21" ht="12.75">
      <c r="A23">
        <f t="shared" si="0"/>
        <v>21</v>
      </c>
      <c r="B23" s="55" t="s">
        <v>5</v>
      </c>
      <c r="C23" s="21">
        <v>97.81266</v>
      </c>
      <c r="D23" s="89">
        <f>database!J23</f>
        <v>21940357.7646</v>
      </c>
      <c r="E23" s="89">
        <v>0</v>
      </c>
      <c r="F23" s="89">
        <f>database!G23</f>
        <v>403570.4509134289</v>
      </c>
      <c r="G23" s="89">
        <f>D23+E23+F23</f>
        <v>22343928.21551343</v>
      </c>
      <c r="H23" s="136">
        <f>D23+I23</f>
        <v>23014246.061978836</v>
      </c>
      <c r="I23" s="89">
        <f>G23*J23</f>
        <v>1073888.2973788346</v>
      </c>
      <c r="J23" s="57">
        <v>0.04806175024466969</v>
      </c>
      <c r="K23" s="46">
        <f>E23</f>
        <v>0</v>
      </c>
      <c r="L23" s="22">
        <v>0</v>
      </c>
      <c r="M23" s="22">
        <f>L23-K23</f>
        <v>0</v>
      </c>
      <c r="N23" s="57">
        <f>M23/G23</f>
        <v>0</v>
      </c>
      <c r="O23" s="46">
        <f>F23</f>
        <v>403570.4509134289</v>
      </c>
      <c r="P23" s="22">
        <v>0</v>
      </c>
      <c r="Q23" s="22">
        <f>P23-O23</f>
        <v>-403570.4509134289</v>
      </c>
      <c r="R23" s="67">
        <f>+Q23/G23</f>
        <v>-0.018061750244669564</v>
      </c>
      <c r="S23" s="46">
        <f>+H23+L23+P23</f>
        <v>23014246.061978836</v>
      </c>
      <c r="T23" s="22">
        <f>S23-G23</f>
        <v>670317.8464654051</v>
      </c>
      <c r="U23" s="57">
        <f>T23/G23</f>
        <v>0.030000000000000096</v>
      </c>
    </row>
    <row r="24" spans="1:21" ht="12.75">
      <c r="A24">
        <f t="shared" si="0"/>
        <v>22</v>
      </c>
      <c r="B24" s="38" t="s">
        <v>23</v>
      </c>
      <c r="C24" s="17">
        <f>SUM(C22:C23)</f>
        <v>289.541975</v>
      </c>
      <c r="D24" s="87">
        <f>SUM(D22:D23)</f>
        <v>41670657.99091305</v>
      </c>
      <c r="E24" s="87">
        <f>SUM(E22:E23)</f>
        <v>0</v>
      </c>
      <c r="F24" s="87">
        <f>SUM(F22:F23)</f>
        <v>929145.8395599399</v>
      </c>
      <c r="G24" s="87">
        <f>G22+G23</f>
        <v>42599803.83047298</v>
      </c>
      <c r="H24" s="134">
        <f>SUM(H22:H23)</f>
        <v>43877797.94538717</v>
      </c>
      <c r="I24" s="87">
        <f>I22+I23</f>
        <v>2207139.9544741297</v>
      </c>
      <c r="J24" s="48">
        <f>I24/G24</f>
        <v>0.05181103563897853</v>
      </c>
      <c r="K24" s="44">
        <f>SUM(K22:K23)</f>
        <v>0</v>
      </c>
      <c r="L24" s="18">
        <f>SUM(L22:L23)</f>
        <v>0</v>
      </c>
      <c r="M24" s="18">
        <f>L24-K24</f>
        <v>0</v>
      </c>
      <c r="N24" s="48">
        <f>M24/G24</f>
        <v>0</v>
      </c>
      <c r="O24" s="44">
        <f>SUM(O22:O23)</f>
        <v>929145.8395599399</v>
      </c>
      <c r="P24" s="18">
        <f>SUM(P22:P23)</f>
        <v>0</v>
      </c>
      <c r="Q24" s="18">
        <f>P24-O24</f>
        <v>-929145.8395599399</v>
      </c>
      <c r="R24" s="48">
        <f>+Q24/G24</f>
        <v>-0.02181103563897852</v>
      </c>
      <c r="S24" s="44">
        <f>S22+S23</f>
        <v>43877797.94538717</v>
      </c>
      <c r="T24" s="18">
        <f>S24-G24</f>
        <v>1277994.1149141863</v>
      </c>
      <c r="U24" s="48">
        <f>T24/G24</f>
        <v>0.029999999999999926</v>
      </c>
    </row>
    <row r="25" spans="1:21" ht="12.75">
      <c r="A25">
        <f t="shared" si="0"/>
        <v>23</v>
      </c>
      <c r="B25" s="39"/>
      <c r="C25" s="19"/>
      <c r="D25" s="88"/>
      <c r="E25" s="88"/>
      <c r="F25" s="88"/>
      <c r="G25" s="88"/>
      <c r="H25" s="135"/>
      <c r="I25" s="88"/>
      <c r="J25" s="63"/>
      <c r="K25" s="45"/>
      <c r="L25" s="20"/>
      <c r="M25" s="20"/>
      <c r="N25" s="63"/>
      <c r="O25" s="45"/>
      <c r="P25" s="20"/>
      <c r="Q25" s="20"/>
      <c r="R25" s="63"/>
      <c r="S25" s="45"/>
      <c r="T25" s="20"/>
      <c r="U25" s="63"/>
    </row>
    <row r="26" spans="1:21" ht="12.75">
      <c r="A26">
        <f t="shared" si="0"/>
        <v>24</v>
      </c>
      <c r="B26" s="56" t="s">
        <v>25</v>
      </c>
      <c r="C26" s="17">
        <f aca="true" t="shared" si="5" ref="C26:H26">C7+C12+C20+C24</f>
        <v>9290.96717</v>
      </c>
      <c r="D26" s="87">
        <f t="shared" si="5"/>
        <v>1192771631.1599002</v>
      </c>
      <c r="E26" s="87">
        <f t="shared" si="5"/>
        <v>0</v>
      </c>
      <c r="F26" s="87">
        <f t="shared" si="5"/>
        <v>27556030.672780212</v>
      </c>
      <c r="G26" s="87">
        <f t="shared" si="5"/>
        <v>1220327661.8326802</v>
      </c>
      <c r="H26" s="134">
        <f t="shared" si="5"/>
        <v>1256937491.687661</v>
      </c>
      <c r="I26" s="87">
        <f>I7+I12+I20+I24</f>
        <v>64165860.52776087</v>
      </c>
      <c r="J26" s="48">
        <f>I26/G26</f>
        <v>0.0525808457307253</v>
      </c>
      <c r="K26" s="44">
        <f>K7+K12+K20+K24</f>
        <v>0</v>
      </c>
      <c r="L26" s="18">
        <f>L7+L12+L20+L24</f>
        <v>0</v>
      </c>
      <c r="M26" s="18">
        <f>L26-K26</f>
        <v>0</v>
      </c>
      <c r="N26" s="48">
        <f>M26/G26</f>
        <v>0</v>
      </c>
      <c r="O26" s="44">
        <f>O7+O12+O20+O24</f>
        <v>27556030.672780212</v>
      </c>
      <c r="P26" s="18">
        <f>P7+P12+P20+P24</f>
        <v>0</v>
      </c>
      <c r="Q26" s="18">
        <f>P26-O26</f>
        <v>-27556030.672780212</v>
      </c>
      <c r="R26" s="48">
        <f>+Q26/G26</f>
        <v>-0.022580845730725094</v>
      </c>
      <c r="S26" s="44">
        <f>S7+S12+S20+S24</f>
        <v>1256937491.687661</v>
      </c>
      <c r="T26" s="18">
        <f>S26-G26</f>
        <v>36609829.85498071</v>
      </c>
      <c r="U26" s="48">
        <f>T26/G26</f>
        <v>0.030000000000000245</v>
      </c>
    </row>
    <row r="27" spans="1:21" ht="12.75">
      <c r="A27">
        <f t="shared" si="0"/>
        <v>25</v>
      </c>
      <c r="B27" s="39"/>
      <c r="C27" s="19"/>
      <c r="D27" s="88"/>
      <c r="E27" s="88"/>
      <c r="F27" s="88"/>
      <c r="G27" s="88"/>
      <c r="H27" s="135"/>
      <c r="I27" s="88"/>
      <c r="J27" s="63"/>
      <c r="K27" s="45"/>
      <c r="L27" s="20"/>
      <c r="M27" s="20"/>
      <c r="N27" s="63"/>
      <c r="O27" s="45"/>
      <c r="P27" s="20"/>
      <c r="Q27" s="20"/>
      <c r="R27" s="63"/>
      <c r="S27" s="45"/>
      <c r="T27" s="20"/>
      <c r="U27" s="63"/>
    </row>
    <row r="28" spans="1:21" ht="12.75">
      <c r="A28">
        <f t="shared" si="0"/>
        <v>26</v>
      </c>
      <c r="B28" s="38" t="s">
        <v>48</v>
      </c>
      <c r="C28" s="19"/>
      <c r="D28" s="88"/>
      <c r="E28" s="88"/>
      <c r="F28" s="88"/>
      <c r="G28" s="88"/>
      <c r="H28" s="135"/>
      <c r="I28" s="88"/>
      <c r="J28" s="63"/>
      <c r="K28" s="45"/>
      <c r="L28" s="20"/>
      <c r="M28" s="20"/>
      <c r="N28" s="63"/>
      <c r="O28" s="45"/>
      <c r="P28" s="20"/>
      <c r="Q28" s="20"/>
      <c r="R28" s="48"/>
      <c r="S28" s="45"/>
      <c r="T28" s="20"/>
      <c r="U28" s="63"/>
    </row>
    <row r="29" spans="1:21" ht="12.75">
      <c r="A29">
        <f t="shared" si="0"/>
        <v>27</v>
      </c>
      <c r="B29" s="39" t="s">
        <v>6</v>
      </c>
      <c r="C29" s="19">
        <v>18.814683</v>
      </c>
      <c r="D29" s="88">
        <f>database!J29</f>
        <v>1071642</v>
      </c>
      <c r="E29" s="88">
        <v>0</v>
      </c>
      <c r="F29" s="88">
        <f>+database!G29</f>
        <v>0</v>
      </c>
      <c r="G29" s="88">
        <f>D29+E29+F29</f>
        <v>1071642</v>
      </c>
      <c r="H29" s="135">
        <f>database!K29</f>
        <v>1071642</v>
      </c>
      <c r="I29" s="88">
        <f>+H29-D29</f>
        <v>0</v>
      </c>
      <c r="J29" s="63">
        <v>0</v>
      </c>
      <c r="K29" s="45">
        <f>E29</f>
        <v>0</v>
      </c>
      <c r="L29" s="20">
        <v>0</v>
      </c>
      <c r="M29" s="20">
        <f>L29-K29</f>
        <v>0</v>
      </c>
      <c r="N29" s="63">
        <f>M29/G29</f>
        <v>0</v>
      </c>
      <c r="O29" s="45">
        <f>F29</f>
        <v>0</v>
      </c>
      <c r="P29" s="20">
        <v>0</v>
      </c>
      <c r="Q29" s="20">
        <f>P29-O29</f>
        <v>0</v>
      </c>
      <c r="R29" s="62">
        <f>+Q29/G29</f>
        <v>0</v>
      </c>
      <c r="S29" s="45">
        <f>+H29+L29+P29</f>
        <v>1071642</v>
      </c>
      <c r="T29" s="20">
        <f>S29-G29</f>
        <v>0</v>
      </c>
      <c r="U29" s="63">
        <f>T29/G29</f>
        <v>0</v>
      </c>
    </row>
    <row r="30" spans="1:21" ht="12.75">
      <c r="A30">
        <f t="shared" si="0"/>
        <v>28</v>
      </c>
      <c r="B30" s="40" t="s">
        <v>12</v>
      </c>
      <c r="C30" s="19">
        <v>178.92</v>
      </c>
      <c r="D30" s="88">
        <f>database!J31</f>
        <v>10241381</v>
      </c>
      <c r="E30" s="88">
        <v>0</v>
      </c>
      <c r="F30" s="88">
        <f>+database!G31</f>
        <v>290428.52609767375</v>
      </c>
      <c r="G30" s="88">
        <f>D30+E30+F30</f>
        <v>10531809.526097674</v>
      </c>
      <c r="H30" s="135">
        <f>database!K31</f>
        <v>10241381</v>
      </c>
      <c r="I30" s="88">
        <f>+H30-D30</f>
        <v>0</v>
      </c>
      <c r="J30" s="66">
        <v>0</v>
      </c>
      <c r="K30" s="45">
        <f>E30</f>
        <v>0</v>
      </c>
      <c r="L30" s="20">
        <v>0</v>
      </c>
      <c r="M30" s="20">
        <f>L30-K30</f>
        <v>0</v>
      </c>
      <c r="N30" s="63">
        <f>M30/G30</f>
        <v>0</v>
      </c>
      <c r="O30" s="45">
        <f>F30</f>
        <v>290428.52609767375</v>
      </c>
      <c r="P30" s="20">
        <v>0</v>
      </c>
      <c r="Q30" s="20">
        <f>P30-O30</f>
        <v>-290428.52609767375</v>
      </c>
      <c r="R30" s="62">
        <f>+Q30/G30</f>
        <v>-0.027576317761728978</v>
      </c>
      <c r="S30" s="45">
        <f>+H30+L30+P30</f>
        <v>10241381</v>
      </c>
      <c r="T30" s="20">
        <f>S30-G30</f>
        <v>-290428.5260976739</v>
      </c>
      <c r="U30" s="63">
        <f>T30/G30</f>
        <v>-0.027576317761728995</v>
      </c>
    </row>
    <row r="31" spans="2:21" ht="12.75">
      <c r="B31" s="40" t="s">
        <v>78</v>
      </c>
      <c r="C31" s="19">
        <v>322.080003</v>
      </c>
      <c r="D31" s="88">
        <f>database!J33</f>
        <v>21856349</v>
      </c>
      <c r="E31" s="88">
        <v>0</v>
      </c>
      <c r="F31" s="88">
        <f>database!G33</f>
        <v>1330573.3497849514</v>
      </c>
      <c r="G31" s="88">
        <f>D31+E31+F31</f>
        <v>23186922.34978495</v>
      </c>
      <c r="H31" s="135">
        <f>database!K33</f>
        <v>21856349</v>
      </c>
      <c r="I31" s="88">
        <f>+H31-D31</f>
        <v>0</v>
      </c>
      <c r="J31" s="66">
        <v>0</v>
      </c>
      <c r="K31" s="45">
        <f>E31</f>
        <v>0</v>
      </c>
      <c r="L31" s="20">
        <v>0</v>
      </c>
      <c r="M31" s="20">
        <f>L31-K31</f>
        <v>0</v>
      </c>
      <c r="N31" s="63">
        <f>M31/G31</f>
        <v>0</v>
      </c>
      <c r="O31" s="45">
        <f>F31</f>
        <v>1330573.3497849514</v>
      </c>
      <c r="P31" s="20">
        <v>0</v>
      </c>
      <c r="Q31" s="20">
        <f>P31-O31</f>
        <v>-1330573.3497849514</v>
      </c>
      <c r="R31" s="62">
        <f>+Q31/G31</f>
        <v>-0.05738464681567763</v>
      </c>
      <c r="S31" s="45">
        <f>+H31+L31+P31</f>
        <v>21856349</v>
      </c>
      <c r="T31" s="20">
        <f>S31-G31</f>
        <v>-1330573.3497849517</v>
      </c>
      <c r="U31" s="63">
        <f>T31/G31</f>
        <v>-0.057384646815677634</v>
      </c>
    </row>
    <row r="32" spans="1:21" ht="12.75">
      <c r="A32">
        <f>A30+1</f>
        <v>29</v>
      </c>
      <c r="B32" s="41" t="s">
        <v>13</v>
      </c>
      <c r="C32" s="21">
        <v>189</v>
      </c>
      <c r="D32" s="89">
        <f>database!J32</f>
        <v>9782311</v>
      </c>
      <c r="E32" s="89">
        <v>0</v>
      </c>
      <c r="F32" s="167">
        <f>+database!G32</f>
        <v>0</v>
      </c>
      <c r="G32" s="89">
        <f>D32+E32+F32</f>
        <v>9782311</v>
      </c>
      <c r="H32" s="136">
        <f>database!K32</f>
        <v>9782311</v>
      </c>
      <c r="I32" s="89">
        <f>+H32-D32</f>
        <v>0</v>
      </c>
      <c r="J32" s="57">
        <v>0</v>
      </c>
      <c r="K32" s="46">
        <f>E32</f>
        <v>0</v>
      </c>
      <c r="L32" s="22">
        <v>0</v>
      </c>
      <c r="M32" s="22">
        <f>L32-K32</f>
        <v>0</v>
      </c>
      <c r="N32" s="57">
        <f>M32/G32</f>
        <v>0</v>
      </c>
      <c r="O32" s="46">
        <f>F32</f>
        <v>0</v>
      </c>
      <c r="P32" s="22">
        <v>0</v>
      </c>
      <c r="Q32" s="22">
        <f>P32-O32</f>
        <v>0</v>
      </c>
      <c r="R32" s="67">
        <f>+Q32/G32</f>
        <v>0</v>
      </c>
      <c r="S32" s="46">
        <f>+H32+L32+P32</f>
        <v>9782311</v>
      </c>
      <c r="T32" s="22">
        <f>S32-G32</f>
        <v>0</v>
      </c>
      <c r="U32" s="57">
        <f>T32/G32</f>
        <v>0</v>
      </c>
    </row>
    <row r="33" spans="1:21" ht="12.75">
      <c r="A33">
        <f t="shared" si="0"/>
        <v>30</v>
      </c>
      <c r="B33" s="56" t="s">
        <v>49</v>
      </c>
      <c r="C33" s="17">
        <f>SUM(C29:C32)</f>
        <v>708.8146859999999</v>
      </c>
      <c r="D33" s="87">
        <f>SUM(D29:D32)</f>
        <v>42951683</v>
      </c>
      <c r="E33" s="87">
        <f>SUM(E29:E32)</f>
        <v>0</v>
      </c>
      <c r="F33" s="87">
        <f>SUM(F29:F32)</f>
        <v>1621001.875882625</v>
      </c>
      <c r="G33" s="87">
        <f>G29+G30+G31+G32</f>
        <v>44572684.875882626</v>
      </c>
      <c r="H33" s="134">
        <f>SUM(H29:H32)</f>
        <v>42951683</v>
      </c>
      <c r="I33" s="87">
        <f>+H33-D33</f>
        <v>0</v>
      </c>
      <c r="J33" s="48">
        <v>0</v>
      </c>
      <c r="K33" s="44">
        <f>SUM(K29:K32)</f>
        <v>0</v>
      </c>
      <c r="L33" s="18">
        <f>SUM(L29:L32)</f>
        <v>0</v>
      </c>
      <c r="M33" s="18">
        <f>L33-K33</f>
        <v>0</v>
      </c>
      <c r="N33" s="48">
        <f>M33/G33</f>
        <v>0</v>
      </c>
      <c r="O33" s="44">
        <f>SUM(O29:O32)</f>
        <v>1621001.875882625</v>
      </c>
      <c r="P33" s="18">
        <f>SUM(P29:P32)</f>
        <v>0</v>
      </c>
      <c r="Q33" s="18">
        <f>P33-O33</f>
        <v>-1621001.875882625</v>
      </c>
      <c r="R33" s="48">
        <f>+Q33/G33</f>
        <v>-0.03636760676177522</v>
      </c>
      <c r="S33" s="44">
        <f>SUM(S29:S32)</f>
        <v>42951683</v>
      </c>
      <c r="T33" s="18">
        <f>S33-G33</f>
        <v>-1621001.8758826256</v>
      </c>
      <c r="U33" s="48">
        <f>T33/G33</f>
        <v>-0.03636760676177523</v>
      </c>
    </row>
    <row r="34" spans="1:21" ht="12.75">
      <c r="A34">
        <f t="shared" si="0"/>
        <v>31</v>
      </c>
      <c r="B34" s="56"/>
      <c r="C34" s="17"/>
      <c r="D34" s="87"/>
      <c r="E34" s="87"/>
      <c r="F34" s="87"/>
      <c r="G34" s="87"/>
      <c r="H34" s="134"/>
      <c r="I34" s="87"/>
      <c r="J34" s="48"/>
      <c r="K34" s="44"/>
      <c r="L34" s="18"/>
      <c r="M34" s="18"/>
      <c r="N34" s="48"/>
      <c r="O34" s="44"/>
      <c r="P34" s="18"/>
      <c r="Q34" s="18"/>
      <c r="R34" s="48"/>
      <c r="S34" s="44"/>
      <c r="T34" s="18"/>
      <c r="U34" s="48"/>
    </row>
    <row r="35" spans="1:21" ht="12.75">
      <c r="A35">
        <f t="shared" si="0"/>
        <v>32</v>
      </c>
      <c r="B35" s="83" t="s">
        <v>100</v>
      </c>
      <c r="C35" s="17"/>
      <c r="D35" s="88">
        <f>database!J38</f>
        <v>3498726</v>
      </c>
      <c r="E35" s="88">
        <v>0</v>
      </c>
      <c r="F35" s="88">
        <v>0</v>
      </c>
      <c r="G35" s="88">
        <f>D35+E35+F35</f>
        <v>3498726</v>
      </c>
      <c r="H35" s="135">
        <f>D35+I35</f>
        <v>3603687.78</v>
      </c>
      <c r="I35" s="88">
        <f>G35*J35</f>
        <v>104961.78000000001</v>
      </c>
      <c r="J35" s="66">
        <v>0.030000000000000006</v>
      </c>
      <c r="K35" s="45">
        <v>0</v>
      </c>
      <c r="L35" s="18">
        <v>0</v>
      </c>
      <c r="M35" s="18">
        <v>0</v>
      </c>
      <c r="N35" s="127" t="s">
        <v>50</v>
      </c>
      <c r="O35" s="45">
        <f>F35</f>
        <v>0</v>
      </c>
      <c r="P35" s="18">
        <v>0</v>
      </c>
      <c r="Q35" s="18">
        <v>0</v>
      </c>
      <c r="R35" s="127" t="s">
        <v>50</v>
      </c>
      <c r="S35" s="45">
        <f>+H35+L35+P35</f>
        <v>3603687.78</v>
      </c>
      <c r="T35" s="20">
        <f>S35-G35</f>
        <v>104961.7799999998</v>
      </c>
      <c r="U35" s="62">
        <f>T35/G35</f>
        <v>0.02999999999999994</v>
      </c>
    </row>
    <row r="36" spans="1:21" ht="12.75">
      <c r="A36">
        <f t="shared" si="0"/>
        <v>33</v>
      </c>
      <c r="B36" s="39"/>
      <c r="C36" s="19"/>
      <c r="D36" s="88"/>
      <c r="E36" s="88"/>
      <c r="F36" s="88"/>
      <c r="G36" s="88"/>
      <c r="H36" s="135"/>
      <c r="I36" s="88"/>
      <c r="J36" s="63"/>
      <c r="K36" s="45"/>
      <c r="L36" s="20"/>
      <c r="M36" s="20"/>
      <c r="N36" s="63"/>
      <c r="O36" s="45"/>
      <c r="P36" s="20"/>
      <c r="Q36" s="20"/>
      <c r="R36" s="63"/>
      <c r="S36" s="45"/>
      <c r="T36" s="20"/>
      <c r="U36" s="63"/>
    </row>
    <row r="37" spans="1:21" ht="12.75">
      <c r="A37">
        <f t="shared" si="0"/>
        <v>34</v>
      </c>
      <c r="B37" s="37"/>
      <c r="C37" s="17"/>
      <c r="D37" s="90"/>
      <c r="E37" s="90"/>
      <c r="F37" s="90"/>
      <c r="G37" s="90"/>
      <c r="H37" s="139"/>
      <c r="I37" s="90"/>
      <c r="J37" s="63"/>
      <c r="K37" s="47"/>
      <c r="L37" s="23"/>
      <c r="M37" s="18"/>
      <c r="N37" s="48"/>
      <c r="O37" s="47"/>
      <c r="P37" s="23"/>
      <c r="Q37" s="23"/>
      <c r="R37" s="48"/>
      <c r="S37" s="47"/>
      <c r="T37" s="23"/>
      <c r="U37" s="48"/>
    </row>
    <row r="38" spans="1:21" ht="12.75">
      <c r="A38">
        <f t="shared" si="0"/>
        <v>35</v>
      </c>
      <c r="B38" s="38" t="s">
        <v>15</v>
      </c>
      <c r="C38" s="17">
        <f>C26+C33</f>
        <v>9999.781856</v>
      </c>
      <c r="D38" s="87">
        <f>D26+D33+D35</f>
        <v>1239222040.1599002</v>
      </c>
      <c r="E38" s="87">
        <f>E26+E33+E35</f>
        <v>0</v>
      </c>
      <c r="F38" s="87">
        <f>F26+F33+F35</f>
        <v>29177032.548662838</v>
      </c>
      <c r="G38" s="87">
        <f>G26+G33+G35</f>
        <v>1268399072.7085629</v>
      </c>
      <c r="H38" s="134">
        <f>H26+H33+H35</f>
        <v>1303492862.467661</v>
      </c>
      <c r="I38" s="87">
        <f>I26+I35</f>
        <v>64270822.30776087</v>
      </c>
      <c r="J38" s="48">
        <f>I38/G38</f>
        <v>0.05067082095110317</v>
      </c>
      <c r="K38" s="44">
        <f>K26+K33+K35</f>
        <v>0</v>
      </c>
      <c r="L38" s="130">
        <f>L26+L33+L35</f>
        <v>0</v>
      </c>
      <c r="M38" s="18">
        <f>L38-K38</f>
        <v>0</v>
      </c>
      <c r="N38" s="48">
        <f>M38/G38</f>
        <v>0</v>
      </c>
      <c r="O38" s="44">
        <f>O26+O33+O35</f>
        <v>29177032.548662838</v>
      </c>
      <c r="P38" s="18">
        <f>P26+P33+P35</f>
        <v>0</v>
      </c>
      <c r="Q38" s="18">
        <f>P38-O38</f>
        <v>-29177032.548662838</v>
      </c>
      <c r="R38" s="48">
        <f>+Q38/G38</f>
        <v>-0.023003038378416395</v>
      </c>
      <c r="S38" s="44">
        <f>S26+S33+S35</f>
        <v>1303492862.467661</v>
      </c>
      <c r="T38" s="18">
        <f>S38-G38</f>
        <v>35093789.75909805</v>
      </c>
      <c r="U38" s="48">
        <f>T38/G38</f>
        <v>0.027667782572686785</v>
      </c>
    </row>
    <row r="39" spans="1:21" ht="12.75">
      <c r="A39">
        <f t="shared" si="0"/>
        <v>36</v>
      </c>
      <c r="B39" s="39"/>
      <c r="C39" s="19"/>
      <c r="D39" s="88"/>
      <c r="E39" s="88"/>
      <c r="F39" s="88"/>
      <c r="G39" s="88"/>
      <c r="H39" s="135"/>
      <c r="I39" s="88"/>
      <c r="J39" s="63"/>
      <c r="K39" s="45"/>
      <c r="L39" s="20"/>
      <c r="M39" s="20"/>
      <c r="N39" s="63"/>
      <c r="O39" s="45"/>
      <c r="P39" s="20"/>
      <c r="Q39" s="20"/>
      <c r="R39" s="63"/>
      <c r="S39" s="45"/>
      <c r="T39" s="20"/>
      <c r="U39" s="63"/>
    </row>
    <row r="40" spans="1:21" ht="12.75">
      <c r="A40">
        <f t="shared" si="0"/>
        <v>37</v>
      </c>
      <c r="B40" s="24" t="s">
        <v>16</v>
      </c>
      <c r="C40" s="19">
        <v>29.522</v>
      </c>
      <c r="D40" s="88">
        <f>database!J42</f>
        <v>1943419</v>
      </c>
      <c r="E40" s="88">
        <v>0</v>
      </c>
      <c r="F40" s="88">
        <f>database!G42</f>
        <v>0</v>
      </c>
      <c r="G40" s="88">
        <f>D40+E40+F40</f>
        <v>1943419</v>
      </c>
      <c r="H40" s="135">
        <f>database!K42</f>
        <v>1943419</v>
      </c>
      <c r="I40" s="88">
        <f>+H40-D40</f>
        <v>0</v>
      </c>
      <c r="J40" s="63">
        <v>0</v>
      </c>
      <c r="K40" s="45">
        <f>E40</f>
        <v>0</v>
      </c>
      <c r="L40" s="20">
        <v>0</v>
      </c>
      <c r="M40" s="20">
        <f>L40-K40</f>
        <v>0</v>
      </c>
      <c r="N40" s="62">
        <f>M40/G40</f>
        <v>0</v>
      </c>
      <c r="O40" s="45">
        <f>F40</f>
        <v>0</v>
      </c>
      <c r="P40" s="20">
        <v>0</v>
      </c>
      <c r="Q40" s="20">
        <f>P40-O40</f>
        <v>0</v>
      </c>
      <c r="R40" s="62">
        <f>+Q40/G40</f>
        <v>0</v>
      </c>
      <c r="S40" s="45">
        <f>+H40+L40+P40</f>
        <v>1943419</v>
      </c>
      <c r="T40" s="20">
        <f>S40-G40</f>
        <v>0</v>
      </c>
      <c r="U40" s="63">
        <f>T40/G40</f>
        <v>0</v>
      </c>
    </row>
    <row r="41" spans="1:21" ht="12.75">
      <c r="A41">
        <f t="shared" si="0"/>
        <v>38</v>
      </c>
      <c r="B41" s="24"/>
      <c r="C41" s="19"/>
      <c r="D41" s="88"/>
      <c r="E41" s="88"/>
      <c r="F41" s="88"/>
      <c r="G41" s="88"/>
      <c r="H41" s="135"/>
      <c r="I41" s="88"/>
      <c r="J41" s="63"/>
      <c r="K41" s="45"/>
      <c r="L41" s="20"/>
      <c r="M41" s="20"/>
      <c r="N41" s="63"/>
      <c r="O41" s="45"/>
      <c r="P41" s="20"/>
      <c r="Q41" s="20"/>
      <c r="R41" s="63"/>
      <c r="S41" s="45"/>
      <c r="T41" s="20"/>
      <c r="U41" s="63"/>
    </row>
    <row r="42" spans="1:21" ht="12.75">
      <c r="A42">
        <f t="shared" si="0"/>
        <v>39</v>
      </c>
      <c r="B42" s="37" t="s">
        <v>17</v>
      </c>
      <c r="C42" s="17">
        <f aca="true" t="shared" si="6" ref="C42:H42">C38+C40</f>
        <v>10029.303856</v>
      </c>
      <c r="D42" s="87">
        <f t="shared" si="6"/>
        <v>1241165459.1599002</v>
      </c>
      <c r="E42" s="87">
        <f t="shared" si="6"/>
        <v>0</v>
      </c>
      <c r="F42" s="87">
        <f t="shared" si="6"/>
        <v>29177032.548662838</v>
      </c>
      <c r="G42" s="87">
        <f t="shared" si="6"/>
        <v>1270342491.7085629</v>
      </c>
      <c r="H42" s="134">
        <f t="shared" si="6"/>
        <v>1305436281.467661</v>
      </c>
      <c r="I42" s="87">
        <f>I38+I40</f>
        <v>64270822.30776087</v>
      </c>
      <c r="J42" s="48">
        <f>I42/G42</f>
        <v>0.05059330277248227</v>
      </c>
      <c r="K42" s="44">
        <f>K38+K40</f>
        <v>0</v>
      </c>
      <c r="L42" s="18">
        <f>L38+L40</f>
        <v>0</v>
      </c>
      <c r="M42" s="18">
        <f>L42-K42</f>
        <v>0</v>
      </c>
      <c r="N42" s="48">
        <f>M42/G42</f>
        <v>0</v>
      </c>
      <c r="O42" s="44">
        <f>O38+O40</f>
        <v>29177032.548662838</v>
      </c>
      <c r="P42" s="18">
        <f>P38+P40</f>
        <v>0</v>
      </c>
      <c r="Q42" s="18">
        <f>P42-O42</f>
        <v>-29177032.548662838</v>
      </c>
      <c r="R42" s="48">
        <f>+Q42/G42</f>
        <v>-0.0229678474420082</v>
      </c>
      <c r="S42" s="44">
        <f>S38+S40</f>
        <v>1305436281.467661</v>
      </c>
      <c r="T42" s="18">
        <f>S42-G42</f>
        <v>35093789.75909805</v>
      </c>
      <c r="U42" s="48">
        <f>T42/G42</f>
        <v>0.02762545533047409</v>
      </c>
    </row>
    <row r="43" spans="1:21" ht="12.75">
      <c r="A43">
        <f t="shared" si="0"/>
        <v>40</v>
      </c>
      <c r="B43" s="24"/>
      <c r="C43" s="19"/>
      <c r="D43" s="88"/>
      <c r="E43" s="88"/>
      <c r="F43" s="88"/>
      <c r="G43" s="88"/>
      <c r="H43" s="135"/>
      <c r="I43" s="88"/>
      <c r="J43" s="63"/>
      <c r="K43" s="45"/>
      <c r="L43" s="20"/>
      <c r="M43" s="20"/>
      <c r="N43" s="63"/>
      <c r="O43" s="45"/>
      <c r="P43" s="20"/>
      <c r="Q43" s="20"/>
      <c r="R43" s="63"/>
      <c r="S43" s="45"/>
      <c r="T43" s="20"/>
      <c r="U43" s="63"/>
    </row>
    <row r="44" spans="1:21" ht="12.75">
      <c r="A44">
        <f t="shared" si="0"/>
        <v>41</v>
      </c>
      <c r="B44" s="39" t="s">
        <v>37</v>
      </c>
      <c r="C44" s="19">
        <f>709.715936+0.914</f>
        <v>710.629936</v>
      </c>
      <c r="D44" s="88">
        <f>database!J49</f>
        <v>22871176.99827166</v>
      </c>
      <c r="E44" s="88">
        <v>0</v>
      </c>
      <c r="F44" s="88">
        <v>0</v>
      </c>
      <c r="G44" s="88">
        <f>D44+E44+F44</f>
        <v>22871176.99827166</v>
      </c>
      <c r="H44" s="135">
        <f>D44+I44</f>
        <v>23190142.53484923</v>
      </c>
      <c r="I44" s="88">
        <f>G44*J44</f>
        <v>318965.5365775699</v>
      </c>
      <c r="J44" s="62">
        <v>0.013946179359360197</v>
      </c>
      <c r="K44" s="45">
        <f>E44</f>
        <v>0</v>
      </c>
      <c r="L44" s="20">
        <v>0</v>
      </c>
      <c r="M44" s="20">
        <f>L44-K44</f>
        <v>0</v>
      </c>
      <c r="N44" s="62">
        <f>M44/G44</f>
        <v>0</v>
      </c>
      <c r="O44" s="45">
        <f>F44</f>
        <v>0</v>
      </c>
      <c r="P44" s="20">
        <v>0</v>
      </c>
      <c r="Q44" s="20">
        <f>P44-O44</f>
        <v>0</v>
      </c>
      <c r="R44" s="62">
        <f>+Q44/G44</f>
        <v>0</v>
      </c>
      <c r="S44" s="45">
        <f>+H44+L44+P44</f>
        <v>23190142.53484923</v>
      </c>
      <c r="T44" s="20">
        <f>S44-G44</f>
        <v>318965.5365775712</v>
      </c>
      <c r="U44" s="63">
        <f>T44/G44</f>
        <v>0.013946179359360253</v>
      </c>
    </row>
    <row r="45" spans="1:21" ht="12.75">
      <c r="A45">
        <f t="shared" si="0"/>
        <v>42</v>
      </c>
      <c r="B45" s="24"/>
      <c r="C45" s="19"/>
      <c r="D45" s="88"/>
      <c r="E45" s="88"/>
      <c r="F45" s="88"/>
      <c r="G45" s="88"/>
      <c r="H45" s="135"/>
      <c r="I45" s="88"/>
      <c r="J45" s="63"/>
      <c r="K45" s="45"/>
      <c r="L45" s="20"/>
      <c r="M45" s="20"/>
      <c r="N45" s="63"/>
      <c r="O45" s="45"/>
      <c r="P45" s="20"/>
      <c r="Q45" s="20"/>
      <c r="R45" s="63"/>
      <c r="S45" s="45"/>
      <c r="T45" s="20"/>
      <c r="U45" s="63"/>
    </row>
    <row r="46" spans="1:21" ht="12.75">
      <c r="A46">
        <f t="shared" si="0"/>
        <v>43</v>
      </c>
      <c r="B46" s="36" t="s">
        <v>35</v>
      </c>
      <c r="C46" s="17">
        <f aca="true" t="shared" si="7" ref="C46:H46">C42+C44</f>
        <v>10739.933792</v>
      </c>
      <c r="D46" s="90">
        <f t="shared" si="7"/>
        <v>1264036636.158172</v>
      </c>
      <c r="E46" s="90">
        <f t="shared" si="7"/>
        <v>0</v>
      </c>
      <c r="F46" s="90">
        <f t="shared" si="7"/>
        <v>29177032.548662838</v>
      </c>
      <c r="G46" s="90">
        <f t="shared" si="7"/>
        <v>1293213668.7068346</v>
      </c>
      <c r="H46" s="139">
        <f t="shared" si="7"/>
        <v>1328626424.00251</v>
      </c>
      <c r="I46" s="90">
        <f>I42+I44</f>
        <v>64589787.84433844</v>
      </c>
      <c r="J46" s="48">
        <f>I46/G46</f>
        <v>0.04994517874909706</v>
      </c>
      <c r="K46" s="47">
        <f>K42+K44</f>
        <v>0</v>
      </c>
      <c r="L46" s="23">
        <f>L42+L44</f>
        <v>0</v>
      </c>
      <c r="M46" s="18">
        <f>L46-K46</f>
        <v>0</v>
      </c>
      <c r="N46" s="48">
        <f>M46/G46</f>
        <v>0</v>
      </c>
      <c r="O46" s="47">
        <f>O42+O44</f>
        <v>29177032.548662838</v>
      </c>
      <c r="P46" s="23">
        <f>P42+P44</f>
        <v>0</v>
      </c>
      <c r="Q46" s="18">
        <f>P46-O46</f>
        <v>-29177032.548662838</v>
      </c>
      <c r="R46" s="48">
        <f>+Q46/G46</f>
        <v>-0.022561648747371175</v>
      </c>
      <c r="S46" s="44">
        <f>S42+S44</f>
        <v>1328626424.00251</v>
      </c>
      <c r="T46" s="23">
        <f>S46-G46</f>
        <v>35412755.295675516</v>
      </c>
      <c r="U46" s="48">
        <f>T46/G46</f>
        <v>0.027383530001725817</v>
      </c>
    </row>
    <row r="47" spans="1:21" ht="12.75">
      <c r="A47">
        <f t="shared" si="0"/>
        <v>44</v>
      </c>
      <c r="B47" s="42"/>
      <c r="C47" s="8"/>
      <c r="D47" s="9"/>
      <c r="E47" s="9"/>
      <c r="F47" s="81"/>
      <c r="G47" s="81"/>
      <c r="H47" s="8"/>
      <c r="I47" s="81"/>
      <c r="J47" s="64"/>
      <c r="K47" s="8"/>
      <c r="L47" s="9"/>
      <c r="M47" s="9"/>
      <c r="N47" s="64"/>
      <c r="O47" s="8"/>
      <c r="P47" s="9"/>
      <c r="Q47" s="9"/>
      <c r="R47" s="64"/>
      <c r="S47" s="8"/>
      <c r="T47" s="9"/>
      <c r="U47" s="64"/>
    </row>
    <row r="48" spans="1:18" ht="12.75">
      <c r="A48">
        <f t="shared" si="0"/>
        <v>45</v>
      </c>
      <c r="F48" s="82"/>
      <c r="G48" s="91"/>
      <c r="I48" s="65"/>
      <c r="J48" s="85"/>
      <c r="N48" s="85"/>
      <c r="R48" s="85"/>
    </row>
    <row r="49" spans="1:19" ht="12.75">
      <c r="A49">
        <f t="shared" si="0"/>
        <v>46</v>
      </c>
      <c r="B49" t="s">
        <v>99</v>
      </c>
      <c r="F49" s="82"/>
      <c r="G49" s="131"/>
      <c r="H49" s="65"/>
      <c r="J49" s="85"/>
      <c r="N49" s="85"/>
      <c r="P49" s="65"/>
      <c r="R49" s="85"/>
      <c r="S49" s="65"/>
    </row>
    <row r="50" spans="1:18" ht="12.75">
      <c r="A50">
        <f t="shared" si="0"/>
        <v>47</v>
      </c>
      <c r="B50" t="s">
        <v>102</v>
      </c>
      <c r="F50" s="82"/>
      <c r="G50" s="98"/>
      <c r="H50" s="65"/>
      <c r="J50" s="85"/>
      <c r="N50" s="85"/>
      <c r="R50" s="85"/>
    </row>
    <row r="51" spans="3:21" ht="12.75">
      <c r="C51" s="96"/>
      <c r="D51" s="99"/>
      <c r="E51" s="99"/>
      <c r="F51" s="99"/>
      <c r="G51" s="99"/>
      <c r="H51" s="99"/>
      <c r="I51" s="99"/>
      <c r="J51" s="85"/>
      <c r="N51" s="85"/>
      <c r="P51" s="65"/>
      <c r="R51" s="85"/>
      <c r="T51" s="74"/>
      <c r="U51" s="85"/>
    </row>
    <row r="52" spans="2:21" ht="12.75">
      <c r="B52" s="95"/>
      <c r="C52" s="96"/>
      <c r="D52" s="99"/>
      <c r="E52" s="99"/>
      <c r="F52" s="99"/>
      <c r="G52" s="99"/>
      <c r="H52" s="99"/>
      <c r="I52" s="99"/>
      <c r="J52" s="85"/>
      <c r="N52" s="85"/>
      <c r="P52" s="65"/>
      <c r="R52" s="85"/>
      <c r="T52" s="74"/>
      <c r="U52" s="85"/>
    </row>
    <row r="53" spans="2:21" ht="12.75">
      <c r="B53" s="95"/>
      <c r="F53" s="82"/>
      <c r="G53" s="91"/>
      <c r="I53" s="65"/>
      <c r="J53" s="85"/>
      <c r="N53" s="85"/>
      <c r="P53" s="65"/>
      <c r="R53" s="85"/>
      <c r="U53" s="85"/>
    </row>
    <row r="54" spans="2:21" ht="12.75">
      <c r="B54" s="95"/>
      <c r="F54" s="82"/>
      <c r="G54" s="91"/>
      <c r="I54" s="99"/>
      <c r="J54" s="85"/>
      <c r="N54" s="85"/>
      <c r="P54" s="96"/>
      <c r="T54" s="74"/>
      <c r="U54" s="85"/>
    </row>
    <row r="55" spans="6:20" ht="12.75">
      <c r="F55" s="82"/>
      <c r="G55" s="91"/>
      <c r="J55" s="85"/>
      <c r="N55" s="85"/>
      <c r="P55" s="65"/>
      <c r="T55" s="74"/>
    </row>
    <row r="56" spans="6:20" ht="12.75">
      <c r="F56" s="82"/>
      <c r="G56" s="91"/>
      <c r="J56" s="85"/>
      <c r="N56" s="85"/>
      <c r="T56" s="74"/>
    </row>
    <row r="57" spans="6:14" ht="12.75">
      <c r="F57" s="82"/>
      <c r="J57" s="85"/>
      <c r="N57" s="85"/>
    </row>
    <row r="58" spans="10:14" ht="12.75">
      <c r="J58" s="85"/>
      <c r="N58" s="85"/>
    </row>
    <row r="59" spans="10:14" ht="12.75">
      <c r="J59" s="85"/>
      <c r="N59" s="85"/>
    </row>
    <row r="60" spans="10:14" ht="12.75">
      <c r="J60" s="85"/>
      <c r="N60" s="85"/>
    </row>
    <row r="61" spans="10:14" ht="12.75">
      <c r="J61" s="85"/>
      <c r="N61" s="85"/>
    </row>
    <row r="62" ht="12.75">
      <c r="J62" s="85"/>
    </row>
    <row r="63" ht="12.75">
      <c r="J63" s="85"/>
    </row>
    <row r="64" ht="12.75">
      <c r="J64" s="85"/>
    </row>
    <row r="65" ht="12.75">
      <c r="J65" s="85"/>
    </row>
    <row r="66" ht="12.75">
      <c r="J66" s="85"/>
    </row>
  </sheetData>
  <sheetProtection/>
  <mergeCells count="5">
    <mergeCell ref="B2:U2"/>
    <mergeCell ref="H3:J3"/>
    <mergeCell ref="K3:N3"/>
    <mergeCell ref="O3:R3"/>
    <mergeCell ref="S3:U3"/>
  </mergeCells>
  <printOptions/>
  <pageMargins left="0.2" right="0.2" top="0.23" bottom="0.23" header="0.17" footer="0.17"/>
  <pageSetup fitToHeight="1" fitToWidth="1" horizontalDpi="600" verticalDpi="600" orientation="landscape" paperSize="3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bestFit="1" customWidth="1"/>
    <col min="4" max="4" width="16.421875" style="0" bestFit="1" customWidth="1"/>
    <col min="5" max="5" width="13.421875" style="0" bestFit="1" customWidth="1"/>
    <col min="6" max="6" width="12.7109375" style="0" bestFit="1" customWidth="1"/>
    <col min="7" max="7" width="17.00390625" style="0" bestFit="1" customWidth="1"/>
    <col min="8" max="9" width="14.421875" style="0" bestFit="1" customWidth="1"/>
    <col min="10" max="10" width="10.57421875" style="0" customWidth="1"/>
    <col min="11" max="11" width="14.140625" style="0" bestFit="1" customWidth="1"/>
    <col min="12" max="12" width="10.57421875" style="0" customWidth="1"/>
    <col min="13" max="13" width="12.28125" style="0" bestFit="1" customWidth="1"/>
    <col min="14" max="14" width="10.57421875" style="0" customWidth="1"/>
    <col min="15" max="15" width="11.7109375" style="0" bestFit="1" customWidth="1"/>
    <col min="16" max="17" width="11.7109375" style="0" customWidth="1"/>
    <col min="18" max="18" width="9.57421875" style="0" bestFit="1" customWidth="1"/>
    <col min="19" max="20" width="14.421875" style="0" bestFit="1" customWidth="1"/>
    <col min="21" max="21" width="9.8515625" style="0" customWidth="1"/>
    <col min="22" max="22" width="5.421875" style="0" customWidth="1"/>
    <col min="23" max="23" width="14.421875" style="85" bestFit="1" customWidth="1"/>
  </cols>
  <sheetData>
    <row r="1" ht="26.25" customHeight="1"/>
    <row r="2" spans="2:21" ht="18">
      <c r="B2" s="15"/>
      <c r="C2" s="177" t="s">
        <v>83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65.25" customHeight="1">
      <c r="A3">
        <v>1</v>
      </c>
      <c r="B3" s="53" t="s">
        <v>20</v>
      </c>
      <c r="C3" s="72" t="s">
        <v>77</v>
      </c>
      <c r="D3" s="73" t="s">
        <v>74</v>
      </c>
      <c r="E3" s="73" t="s">
        <v>63</v>
      </c>
      <c r="F3" s="73" t="s">
        <v>64</v>
      </c>
      <c r="G3" s="73" t="s">
        <v>93</v>
      </c>
      <c r="H3" s="174" t="s">
        <v>75</v>
      </c>
      <c r="I3" s="175"/>
      <c r="J3" s="176"/>
      <c r="K3" s="171" t="s">
        <v>38</v>
      </c>
      <c r="L3" s="172"/>
      <c r="M3" s="172"/>
      <c r="N3" s="173"/>
      <c r="O3" s="171" t="s">
        <v>39</v>
      </c>
      <c r="P3" s="172"/>
      <c r="Q3" s="172"/>
      <c r="R3" s="173"/>
      <c r="S3" s="171" t="s">
        <v>94</v>
      </c>
      <c r="T3" s="172"/>
      <c r="U3" s="173"/>
    </row>
    <row r="4" spans="1:22" ht="20.25">
      <c r="A4">
        <f>A3+1</f>
        <v>2</v>
      </c>
      <c r="B4" s="101" t="s">
        <v>66</v>
      </c>
      <c r="C4" s="101" t="s">
        <v>27</v>
      </c>
      <c r="D4" s="102" t="s">
        <v>31</v>
      </c>
      <c r="E4" s="102" t="s">
        <v>28</v>
      </c>
      <c r="F4" s="102" t="s">
        <v>29</v>
      </c>
      <c r="G4" s="121" t="s">
        <v>30</v>
      </c>
      <c r="H4" s="101" t="s">
        <v>52</v>
      </c>
      <c r="I4" s="102" t="s">
        <v>53</v>
      </c>
      <c r="J4" s="103" t="s">
        <v>67</v>
      </c>
      <c r="K4" s="101" t="s">
        <v>54</v>
      </c>
      <c r="L4" s="102" t="s">
        <v>60</v>
      </c>
      <c r="M4" s="102" t="s">
        <v>61</v>
      </c>
      <c r="N4" s="103" t="s">
        <v>68</v>
      </c>
      <c r="O4" s="101" t="s">
        <v>55</v>
      </c>
      <c r="P4" s="102" t="s">
        <v>56</v>
      </c>
      <c r="Q4" s="102" t="s">
        <v>57</v>
      </c>
      <c r="R4" s="103" t="s">
        <v>58</v>
      </c>
      <c r="S4" s="101" t="s">
        <v>59</v>
      </c>
      <c r="T4" s="102" t="s">
        <v>69</v>
      </c>
      <c r="U4" s="103" t="s">
        <v>62</v>
      </c>
      <c r="V4" s="100"/>
    </row>
    <row r="5" spans="1:21" ht="63.75">
      <c r="A5">
        <f aca="true" t="shared" si="0" ref="A5:A49">A4+1</f>
        <v>3</v>
      </c>
      <c r="B5" s="58"/>
      <c r="C5" s="59"/>
      <c r="D5" s="69"/>
      <c r="E5" s="69"/>
      <c r="F5" s="69"/>
      <c r="G5" s="69"/>
      <c r="H5" s="75" t="s">
        <v>32</v>
      </c>
      <c r="I5" s="76" t="s">
        <v>34</v>
      </c>
      <c r="J5" s="77" t="s">
        <v>51</v>
      </c>
      <c r="K5" s="79" t="s">
        <v>43</v>
      </c>
      <c r="L5" s="78" t="s">
        <v>76</v>
      </c>
      <c r="M5" s="78" t="s">
        <v>33</v>
      </c>
      <c r="N5" s="77" t="s">
        <v>51</v>
      </c>
      <c r="O5" s="79" t="s">
        <v>43</v>
      </c>
      <c r="P5" s="78" t="s">
        <v>76</v>
      </c>
      <c r="Q5" s="78" t="s">
        <v>33</v>
      </c>
      <c r="R5" s="77" t="s">
        <v>51</v>
      </c>
      <c r="S5" s="79" t="s">
        <v>32</v>
      </c>
      <c r="T5" s="80" t="s">
        <v>33</v>
      </c>
      <c r="U5" s="77" t="s">
        <v>51</v>
      </c>
    </row>
    <row r="6" spans="1:21" ht="12.75">
      <c r="A6">
        <f t="shared" si="0"/>
        <v>4</v>
      </c>
      <c r="B6" s="37" t="s">
        <v>21</v>
      </c>
      <c r="C6" s="12"/>
      <c r="D6" s="11"/>
      <c r="E6" s="70"/>
      <c r="F6" s="70"/>
      <c r="G6" s="11"/>
      <c r="H6" s="33"/>
      <c r="I6" s="1"/>
      <c r="J6" s="34"/>
      <c r="K6" s="1"/>
      <c r="L6" s="1"/>
      <c r="M6" s="1"/>
      <c r="N6" s="1"/>
      <c r="O6" s="33"/>
      <c r="P6" s="1"/>
      <c r="Q6" s="1"/>
      <c r="R6" s="1"/>
      <c r="S6" s="35"/>
      <c r="T6" s="16"/>
      <c r="U6" s="34"/>
    </row>
    <row r="7" spans="1:23" ht="12.75">
      <c r="A7">
        <f t="shared" si="0"/>
        <v>5</v>
      </c>
      <c r="B7" s="38" t="s">
        <v>8</v>
      </c>
      <c r="C7" s="17">
        <v>4273.208828</v>
      </c>
      <c r="D7" s="87">
        <f>database!E7</f>
        <v>588717083.202889</v>
      </c>
      <c r="E7" s="87">
        <f>database!B7</f>
        <v>15729855.39635859</v>
      </c>
      <c r="F7" s="87">
        <f>database!C7</f>
        <v>13940592.104265573</v>
      </c>
      <c r="G7" s="18">
        <f>D7+E7+F7</f>
        <v>618387530.7035131</v>
      </c>
      <c r="H7" s="44">
        <f>database!F7</f>
        <v>656556742.5019921</v>
      </c>
      <c r="I7" s="18">
        <f>+H7-D7</f>
        <v>67839659.29910314</v>
      </c>
      <c r="J7" s="48">
        <f>+I7/G7</f>
        <v>0.10970411906903241</v>
      </c>
      <c r="K7" s="44">
        <f>E7</f>
        <v>15729855.39635859</v>
      </c>
      <c r="L7" s="18">
        <v>0</v>
      </c>
      <c r="M7" s="18">
        <f>L7-K7</f>
        <v>-15729855.39635859</v>
      </c>
      <c r="N7" s="93">
        <f>+M7/G7</f>
        <v>-0.02543688967735718</v>
      </c>
      <c r="O7" s="44">
        <f>F7</f>
        <v>13940592.104265573</v>
      </c>
      <c r="P7" s="18">
        <f>database!G7</f>
        <v>11528175.200903017</v>
      </c>
      <c r="Q7" s="18">
        <f>P7-O7</f>
        <v>-2412416.9033625554</v>
      </c>
      <c r="R7" s="93">
        <f>+Q7/G7</f>
        <v>-0.0039011409247176306</v>
      </c>
      <c r="S7" s="44">
        <f>+H7+L7+P7</f>
        <v>668084917.7028952</v>
      </c>
      <c r="T7" s="18">
        <f>S7-G7</f>
        <v>49697386.99938202</v>
      </c>
      <c r="U7" s="48">
        <f>T7/G7</f>
        <v>0.08036608846695764</v>
      </c>
      <c r="W7" s="128"/>
    </row>
    <row r="8" spans="1:21" ht="12.75">
      <c r="A8">
        <f t="shared" si="0"/>
        <v>6</v>
      </c>
      <c r="B8" s="39"/>
      <c r="C8" s="19"/>
      <c r="D8" s="88"/>
      <c r="E8" s="88"/>
      <c r="F8" s="88"/>
      <c r="G8" s="20"/>
      <c r="H8" s="45"/>
      <c r="I8" s="20"/>
      <c r="J8" s="63"/>
      <c r="K8" s="45"/>
      <c r="L8" s="20"/>
      <c r="M8" s="20"/>
      <c r="N8" s="92"/>
      <c r="O8" s="45"/>
      <c r="P8" s="20"/>
      <c r="Q8" s="20"/>
      <c r="R8" s="92"/>
      <c r="S8" s="45"/>
      <c r="T8" s="20"/>
      <c r="U8" s="63"/>
    </row>
    <row r="9" spans="1:23" ht="12.75">
      <c r="A9">
        <f t="shared" si="0"/>
        <v>7</v>
      </c>
      <c r="B9" s="54" t="s">
        <v>0</v>
      </c>
      <c r="C9" s="19">
        <v>231.27671</v>
      </c>
      <c r="D9" s="88">
        <f>database!E9</f>
        <v>31454191.894843403</v>
      </c>
      <c r="E9" s="88">
        <f>database!B9</f>
        <v>836569.9890911216</v>
      </c>
      <c r="F9" s="88">
        <f>database!C9</f>
        <v>784960.1308079566</v>
      </c>
      <c r="G9" s="20">
        <f>D9+E9+F9</f>
        <v>33075722.01474248</v>
      </c>
      <c r="H9" s="45">
        <f>database!F9</f>
        <v>35078754.0530633</v>
      </c>
      <c r="I9" s="20">
        <f>+H9-D9</f>
        <v>3624562.1582199</v>
      </c>
      <c r="J9" s="63">
        <f>+I9/G9</f>
        <v>0.1095837652948094</v>
      </c>
      <c r="K9" s="45">
        <f>E9</f>
        <v>836569.9890911216</v>
      </c>
      <c r="L9" s="20">
        <v>0</v>
      </c>
      <c r="M9" s="20">
        <f>L9-K9</f>
        <v>-836569.9890911216</v>
      </c>
      <c r="N9" s="61">
        <f>+M9/G9</f>
        <v>-0.02529256923607734</v>
      </c>
      <c r="O9" s="45">
        <f>F9</f>
        <v>784960.1308079566</v>
      </c>
      <c r="P9" s="20">
        <f>database!G9</f>
        <v>663039.8340477052</v>
      </c>
      <c r="Q9" s="20">
        <f>P9-O9</f>
        <v>-121920.2967602514</v>
      </c>
      <c r="R9" s="61">
        <f>+Q9/G9</f>
        <v>-0.003686096306708262</v>
      </c>
      <c r="S9" s="45">
        <f>+H9+L9+P9</f>
        <v>35741793.88711101</v>
      </c>
      <c r="T9" s="20">
        <f>S9-G9</f>
        <v>2666071.8723685294</v>
      </c>
      <c r="U9" s="63">
        <f>T9/G9</f>
        <v>0.08060509975202387</v>
      </c>
      <c r="W9" s="96"/>
    </row>
    <row r="10" spans="1:23" ht="12.75">
      <c r="A10">
        <f t="shared" si="0"/>
        <v>8</v>
      </c>
      <c r="B10" s="39" t="s">
        <v>9</v>
      </c>
      <c r="C10" s="19">
        <v>2435.294956</v>
      </c>
      <c r="D10" s="88">
        <f>database!E10</f>
        <v>275984112.15196776</v>
      </c>
      <c r="E10" s="88">
        <f>database!B10</f>
        <v>9236100.686004808</v>
      </c>
      <c r="F10" s="88">
        <f>database!C10</f>
        <v>9197988.818109112</v>
      </c>
      <c r="G10" s="20">
        <f>D10+E10+F10</f>
        <v>294418201.6560817</v>
      </c>
      <c r="H10" s="45">
        <f>database!F10</f>
        <v>307786600.43461645</v>
      </c>
      <c r="I10" s="20">
        <f>+H10-D10</f>
        <v>31802488.282648683</v>
      </c>
      <c r="J10" s="63">
        <f>+I10/G10</f>
        <v>0.10801807803920384</v>
      </c>
      <c r="K10" s="45">
        <f>E10</f>
        <v>9236100.686004808</v>
      </c>
      <c r="L10" s="20">
        <v>0</v>
      </c>
      <c r="M10" s="20">
        <f>L10-K10</f>
        <v>-9236100.686004808</v>
      </c>
      <c r="N10" s="61">
        <f>+M10/G10</f>
        <v>-0.03137068508010847</v>
      </c>
      <c r="O10" s="45">
        <f>F10</f>
        <v>9197988.818109112</v>
      </c>
      <c r="P10" s="20">
        <f>database!G10</f>
        <v>7640243.683163606</v>
      </c>
      <c r="Q10" s="20">
        <f>P10-O10</f>
        <v>-1557745.1349455062</v>
      </c>
      <c r="R10" s="61">
        <f>+Q10/G10</f>
        <v>-0.005290926736809407</v>
      </c>
      <c r="S10" s="45">
        <f>+H10+L10+P10</f>
        <v>315426844.11778</v>
      </c>
      <c r="T10" s="20">
        <f>S10-G10</f>
        <v>21008642.461698353</v>
      </c>
      <c r="U10" s="63">
        <f>T10/G10</f>
        <v>0.0713564662222859</v>
      </c>
      <c r="W10" s="96"/>
    </row>
    <row r="11" spans="1:23" ht="12.75">
      <c r="A11">
        <f t="shared" si="0"/>
        <v>9</v>
      </c>
      <c r="B11" s="55" t="s">
        <v>1</v>
      </c>
      <c r="C11" s="21">
        <v>396.294927</v>
      </c>
      <c r="D11" s="89">
        <f>database!E11</f>
        <v>37795518.90171224</v>
      </c>
      <c r="E11" s="89">
        <f>database!B11</f>
        <v>1348849.6986629148</v>
      </c>
      <c r="F11" s="89">
        <f>database!C11</f>
        <v>1443409.955574371</v>
      </c>
      <c r="G11" s="22">
        <f>D11+E11+F11</f>
        <v>40587778.555949524</v>
      </c>
      <c r="H11" s="46">
        <f>database!F11</f>
        <v>42150811.44966321</v>
      </c>
      <c r="I11" s="22">
        <f>+H11-D11</f>
        <v>4355292.547950968</v>
      </c>
      <c r="J11" s="57">
        <f>+I11/G11</f>
        <v>0.10730551665810623</v>
      </c>
      <c r="K11" s="46">
        <f>E11</f>
        <v>1348849.6986629148</v>
      </c>
      <c r="L11" s="22">
        <v>0</v>
      </c>
      <c r="M11" s="22">
        <f>L11-K11</f>
        <v>-1348849.6986629148</v>
      </c>
      <c r="N11" s="97">
        <f>+M11/G11</f>
        <v>-0.033232902776473706</v>
      </c>
      <c r="O11" s="46">
        <f>F11</f>
        <v>1443409.955574371</v>
      </c>
      <c r="P11" s="22">
        <f>database!G11</f>
        <v>1341147.4854338877</v>
      </c>
      <c r="Q11" s="22">
        <f>P11-O11</f>
        <v>-102262.47014048323</v>
      </c>
      <c r="R11" s="97">
        <f>+Q11/G11</f>
        <v>-0.002519538486185349</v>
      </c>
      <c r="S11" s="46">
        <f>+H11+L11+P11</f>
        <v>43491958.9350971</v>
      </c>
      <c r="T11" s="22">
        <f>S11-G11</f>
        <v>2904180.3791475743</v>
      </c>
      <c r="U11" s="57">
        <f>T11/G11</f>
        <v>0.07155307539544727</v>
      </c>
      <c r="W11" s="96"/>
    </row>
    <row r="12" spans="1:23" ht="12.75">
      <c r="A12">
        <f t="shared" si="0"/>
        <v>10</v>
      </c>
      <c r="B12" s="38" t="s">
        <v>10</v>
      </c>
      <c r="C12" s="17">
        <f aca="true" t="shared" si="1" ref="C12:H12">SUM(C9:C11)</f>
        <v>3062.866593</v>
      </c>
      <c r="D12" s="87">
        <f t="shared" si="1"/>
        <v>345233822.9485234</v>
      </c>
      <c r="E12" s="87">
        <f t="shared" si="1"/>
        <v>11421520.373758845</v>
      </c>
      <c r="F12" s="87">
        <f t="shared" si="1"/>
        <v>11426358.90449144</v>
      </c>
      <c r="G12" s="18">
        <f t="shared" si="1"/>
        <v>368081702.2267737</v>
      </c>
      <c r="H12" s="44">
        <f t="shared" si="1"/>
        <v>385016165.93734294</v>
      </c>
      <c r="I12" s="18">
        <f>+H12-D12</f>
        <v>39782342.98881954</v>
      </c>
      <c r="J12" s="48">
        <f>+I12/G12</f>
        <v>0.10808019727182688</v>
      </c>
      <c r="K12" s="44">
        <f>SUM(K9:K11)</f>
        <v>11421520.373758845</v>
      </c>
      <c r="L12" s="18">
        <f>SUM(L9:L11)</f>
        <v>0</v>
      </c>
      <c r="M12" s="18">
        <f>L12-K12</f>
        <v>-11421520.373758845</v>
      </c>
      <c r="N12" s="93">
        <f>+M12/G12</f>
        <v>-0.031029850994120027</v>
      </c>
      <c r="O12" s="44">
        <f>F12</f>
        <v>11426358.90449144</v>
      </c>
      <c r="P12" s="18">
        <f>SUM(P9:P11)</f>
        <v>9644431.002645198</v>
      </c>
      <c r="Q12" s="18">
        <f>P12-O12</f>
        <v>-1781927.9018462412</v>
      </c>
      <c r="R12" s="93">
        <f>+Q12/G12</f>
        <v>-0.004841120574769572</v>
      </c>
      <c r="S12" s="44">
        <f>SUM(S9:S11)</f>
        <v>394660596.93998814</v>
      </c>
      <c r="T12" s="18">
        <f>S12-G12</f>
        <v>26578894.713214457</v>
      </c>
      <c r="U12" s="48">
        <f>T12/G12</f>
        <v>0.0722092257029373</v>
      </c>
      <c r="W12" s="96"/>
    </row>
    <row r="13" spans="1:21" ht="12.75">
      <c r="A13">
        <f t="shared" si="0"/>
        <v>11</v>
      </c>
      <c r="B13" s="39"/>
      <c r="C13" s="19"/>
      <c r="D13" s="88"/>
      <c r="E13" s="88"/>
      <c r="F13" s="88"/>
      <c r="G13" s="20"/>
      <c r="H13" s="45"/>
      <c r="I13" s="20"/>
      <c r="J13" s="63"/>
      <c r="K13" s="45"/>
      <c r="L13" s="20"/>
      <c r="M13" s="20"/>
      <c r="N13" s="92"/>
      <c r="O13" s="45"/>
      <c r="P13" s="20"/>
      <c r="Q13" s="20"/>
      <c r="R13" s="92"/>
      <c r="S13" s="45">
        <f>+H13+L13+P13</f>
        <v>0</v>
      </c>
      <c r="T13" s="20"/>
      <c r="U13" s="63"/>
    </row>
    <row r="14" spans="1:23" ht="12.75">
      <c r="A14">
        <f t="shared" si="0"/>
        <v>12</v>
      </c>
      <c r="B14" s="39" t="s">
        <v>2</v>
      </c>
      <c r="C14" s="19">
        <v>258.161462</v>
      </c>
      <c r="D14" s="88">
        <f>database!E14</f>
        <v>28459581.73596959</v>
      </c>
      <c r="E14" s="88">
        <f>database!B14</f>
        <v>834756.6549771931</v>
      </c>
      <c r="F14" s="88">
        <f>database!C14</f>
        <v>876178.2414095479</v>
      </c>
      <c r="G14" s="20">
        <f>D14+E14+F14</f>
        <v>30170516.63235633</v>
      </c>
      <c r="H14" s="45">
        <f>database!F14</f>
        <v>31739065.86145026</v>
      </c>
      <c r="I14" s="20">
        <f>+H14-D14</f>
        <v>3279484.1254806705</v>
      </c>
      <c r="J14" s="63">
        <f aca="true" t="shared" si="2" ref="J14:J20">+I14/G14</f>
        <v>0.10869830853223084</v>
      </c>
      <c r="K14" s="45">
        <f aca="true" t="shared" si="3" ref="K14:K19">E14</f>
        <v>834756.6549771931</v>
      </c>
      <c r="L14" s="20">
        <v>0</v>
      </c>
      <c r="M14" s="20">
        <f aca="true" t="shared" si="4" ref="M14:M20">L14-K14</f>
        <v>-834756.6549771931</v>
      </c>
      <c r="N14" s="61">
        <f aca="true" t="shared" si="5" ref="N14:N20">+M14/G14</f>
        <v>-0.02766796025235973</v>
      </c>
      <c r="O14" s="45">
        <f>F14</f>
        <v>876178.2414095479</v>
      </c>
      <c r="P14" s="20">
        <f>database!G14</f>
        <v>827566.6761845871</v>
      </c>
      <c r="Q14" s="20">
        <f>P14-O14</f>
        <v>-48611.565224960796</v>
      </c>
      <c r="R14" s="61">
        <f aca="true" t="shared" si="6" ref="R14:R20">+Q14/G14</f>
        <v>-0.0016112274714191466</v>
      </c>
      <c r="S14" s="45">
        <f>+H14+L14+P14</f>
        <v>32566632.537634846</v>
      </c>
      <c r="T14" s="20">
        <f aca="true" t="shared" si="7" ref="T14:T20">S14-G14</f>
        <v>2396115.905278515</v>
      </c>
      <c r="U14" s="63">
        <f aca="true" t="shared" si="8" ref="U14:U20">T14/G14</f>
        <v>0.07941912080845191</v>
      </c>
      <c r="W14" s="96"/>
    </row>
    <row r="15" spans="1:23" ht="12.75">
      <c r="A15">
        <f t="shared" si="0"/>
        <v>13</v>
      </c>
      <c r="B15" s="39" t="s">
        <v>3</v>
      </c>
      <c r="C15" s="19">
        <v>498.772236</v>
      </c>
      <c r="D15" s="88">
        <f>database!E15</f>
        <v>47959530.119432814</v>
      </c>
      <c r="E15" s="88">
        <f>database!B15</f>
        <v>1569891.0792160828</v>
      </c>
      <c r="F15" s="88">
        <f>database!C15</f>
        <v>1659488.167918161</v>
      </c>
      <c r="G15" s="20">
        <f>D15+E15+F15</f>
        <v>51188909.36656706</v>
      </c>
      <c r="H15" s="45">
        <f>database!F15</f>
        <v>53486052.580351666</v>
      </c>
      <c r="I15" s="20">
        <f>+H15-D15</f>
        <v>5526522.460918851</v>
      </c>
      <c r="J15" s="63">
        <f t="shared" si="2"/>
        <v>0.10796327816525782</v>
      </c>
      <c r="K15" s="45">
        <f t="shared" si="3"/>
        <v>1569891.0792160828</v>
      </c>
      <c r="L15" s="20">
        <v>0</v>
      </c>
      <c r="M15" s="20">
        <f t="shared" si="4"/>
        <v>-1569891.0792160828</v>
      </c>
      <c r="N15" s="61">
        <f t="shared" si="5"/>
        <v>-0.03066857838235998</v>
      </c>
      <c r="O15" s="45">
        <f>F15</f>
        <v>1659488.167918161</v>
      </c>
      <c r="P15" s="20">
        <f>database!G15</f>
        <v>1564646.3316729537</v>
      </c>
      <c r="Q15" s="20">
        <f>P15-O15</f>
        <v>-94841.83624520735</v>
      </c>
      <c r="R15" s="61">
        <f t="shared" si="6"/>
        <v>-0.001852780952335571</v>
      </c>
      <c r="S15" s="45">
        <f>+H15+L15+P15</f>
        <v>55050698.91202462</v>
      </c>
      <c r="T15" s="20">
        <f t="shared" si="7"/>
        <v>3861789.545457557</v>
      </c>
      <c r="U15" s="63">
        <f t="shared" si="8"/>
        <v>0.07544191883056219</v>
      </c>
      <c r="W15" s="96"/>
    </row>
    <row r="16" spans="1:23" s="104" customFormat="1" ht="12.75">
      <c r="A16">
        <f t="shared" si="0"/>
        <v>14</v>
      </c>
      <c r="B16" s="105" t="s">
        <v>70</v>
      </c>
      <c r="C16" s="106">
        <v>224.839215</v>
      </c>
      <c r="D16" s="107">
        <f>database!E16</f>
        <v>18598529.043499067</v>
      </c>
      <c r="E16" s="107">
        <f>database!B16</f>
        <v>721582.606791599</v>
      </c>
      <c r="F16" s="107">
        <f>database!C16</f>
        <v>796880.0733422372</v>
      </c>
      <c r="G16" s="108">
        <f>D16+E16+F16</f>
        <v>20116991.723632906</v>
      </c>
      <c r="H16" s="109">
        <f>database!F16</f>
        <v>20592921.824057747</v>
      </c>
      <c r="I16" s="108">
        <f>+H16-D16</f>
        <v>1994392.7805586793</v>
      </c>
      <c r="J16" s="110">
        <f t="shared" si="2"/>
        <v>0.09913971273427129</v>
      </c>
      <c r="K16" s="109">
        <f t="shared" si="3"/>
        <v>721582.606791599</v>
      </c>
      <c r="L16" s="108">
        <v>0</v>
      </c>
      <c r="M16" s="108">
        <f t="shared" si="4"/>
        <v>-721582.606791599</v>
      </c>
      <c r="N16" s="111">
        <f t="shared" si="5"/>
        <v>-0.0358693097210903</v>
      </c>
      <c r="O16" s="109">
        <f>F16</f>
        <v>796880.0733422372</v>
      </c>
      <c r="P16" s="108">
        <f>database!G16</f>
        <v>747144.0117227418</v>
      </c>
      <c r="Q16" s="108">
        <f>P16-O16</f>
        <v>-49736.06161949539</v>
      </c>
      <c r="R16" s="111">
        <f t="shared" si="6"/>
        <v>-0.0024723409097527635</v>
      </c>
      <c r="S16" s="109">
        <f>+H16+L16+P16</f>
        <v>21340065.83578049</v>
      </c>
      <c r="T16" s="108">
        <f t="shared" si="7"/>
        <v>1223074.1121475846</v>
      </c>
      <c r="U16" s="110">
        <f t="shared" si="8"/>
        <v>0.0607980621034282</v>
      </c>
      <c r="W16" s="112"/>
    </row>
    <row r="17" spans="1:29" s="104" customFormat="1" ht="12.75">
      <c r="A17">
        <f t="shared" si="0"/>
        <v>15</v>
      </c>
      <c r="B17" s="105" t="s">
        <v>71</v>
      </c>
      <c r="C17" s="113">
        <v>696.586409</v>
      </c>
      <c r="D17" s="114">
        <f>database!E17</f>
        <v>55222022.54854539</v>
      </c>
      <c r="E17" s="114">
        <f>database!B17</f>
        <v>2153715.374189236</v>
      </c>
      <c r="F17" s="114">
        <f>database!C17</f>
        <v>2378456.53316571</v>
      </c>
      <c r="G17" s="115">
        <f>D17+E17+F17</f>
        <v>59754194.455900334</v>
      </c>
      <c r="H17" s="116">
        <f>database!F17</f>
        <v>61734196.35516739</v>
      </c>
      <c r="I17" s="115">
        <f>+H17-D17</f>
        <v>6512173.806621999</v>
      </c>
      <c r="J17" s="117">
        <f t="shared" si="2"/>
        <v>0.10898270599946083</v>
      </c>
      <c r="K17" s="116">
        <f t="shared" si="3"/>
        <v>2153715.374189236</v>
      </c>
      <c r="L17" s="115">
        <v>0</v>
      </c>
      <c r="M17" s="115">
        <f t="shared" si="4"/>
        <v>-2153715.374189236</v>
      </c>
      <c r="N17" s="118">
        <f t="shared" si="5"/>
        <v>-0.036042915376906584</v>
      </c>
      <c r="O17" s="116">
        <f>F17</f>
        <v>2378456.53316571</v>
      </c>
      <c r="P17" s="115">
        <f>database!G17</f>
        <v>2314921.610091774</v>
      </c>
      <c r="Q17" s="115">
        <f>P17-O17</f>
        <v>-63534.923073936254</v>
      </c>
      <c r="R17" s="118">
        <f t="shared" si="6"/>
        <v>-0.0010632713511153794</v>
      </c>
      <c r="S17" s="116">
        <f>+H17+L17+P17</f>
        <v>64049117.965259165</v>
      </c>
      <c r="T17" s="115">
        <f t="shared" si="7"/>
        <v>4294923.509358831</v>
      </c>
      <c r="U17" s="57">
        <f t="shared" si="8"/>
        <v>0.07187651927143895</v>
      </c>
      <c r="V17" s="119"/>
      <c r="W17" s="120"/>
      <c r="X17" s="119"/>
      <c r="Y17" s="119"/>
      <c r="Z17" s="119"/>
      <c r="AA17" s="119"/>
      <c r="AB17" s="119"/>
      <c r="AC17" s="119"/>
    </row>
    <row r="18" spans="1:23" ht="12.75">
      <c r="A18">
        <f t="shared" si="0"/>
        <v>16</v>
      </c>
      <c r="B18" s="39" t="s">
        <v>72</v>
      </c>
      <c r="C18" s="19">
        <f>C16+C17</f>
        <v>921.425624</v>
      </c>
      <c r="D18" s="88">
        <f aca="true" t="shared" si="9" ref="D18:I18">SUM(D16:D17)</f>
        <v>73820551.59204446</v>
      </c>
      <c r="E18" s="88">
        <f t="shared" si="9"/>
        <v>2875297.980980835</v>
      </c>
      <c r="F18" s="88">
        <f t="shared" si="9"/>
        <v>3175336.606507947</v>
      </c>
      <c r="G18" s="20">
        <f>G16+G17</f>
        <v>79871186.17953324</v>
      </c>
      <c r="H18" s="45">
        <f t="shared" si="9"/>
        <v>82327118.17922513</v>
      </c>
      <c r="I18" s="20">
        <f t="shared" si="9"/>
        <v>8506566.587180678</v>
      </c>
      <c r="J18" s="63">
        <f t="shared" si="2"/>
        <v>0.10650357148896908</v>
      </c>
      <c r="K18" s="45">
        <f>K16+K17</f>
        <v>2875297.980980835</v>
      </c>
      <c r="L18" s="20">
        <f>L16+L17</f>
        <v>0</v>
      </c>
      <c r="M18" s="20">
        <f t="shared" si="4"/>
        <v>-2875297.980980835</v>
      </c>
      <c r="N18" s="61">
        <f t="shared" si="5"/>
        <v>-0.035999189676709994</v>
      </c>
      <c r="O18" s="45">
        <f>O16+O17</f>
        <v>3175336.606507947</v>
      </c>
      <c r="P18" s="20">
        <f>SUM(P16:P17)</f>
        <v>3062065.6218145154</v>
      </c>
      <c r="Q18" s="20">
        <f>SUM(Q16:Q17)</f>
        <v>-113270.98469343164</v>
      </c>
      <c r="R18" s="61">
        <f t="shared" si="6"/>
        <v>-0.0014181708086671312</v>
      </c>
      <c r="S18" s="45">
        <f>+H18+P18</f>
        <v>85389183.80103965</v>
      </c>
      <c r="T18" s="20">
        <f t="shared" si="7"/>
        <v>5517997.621506408</v>
      </c>
      <c r="U18" s="63">
        <f t="shared" si="8"/>
        <v>0.06908621100359191</v>
      </c>
      <c r="W18" s="96"/>
    </row>
    <row r="19" spans="1:23" ht="12.75">
      <c r="A19">
        <f t="shared" si="0"/>
        <v>17</v>
      </c>
      <c r="B19" s="55" t="s">
        <v>65</v>
      </c>
      <c r="C19" s="21">
        <v>0</v>
      </c>
      <c r="D19" s="89">
        <f>database!E19</f>
        <v>0</v>
      </c>
      <c r="E19" s="89">
        <v>0</v>
      </c>
      <c r="F19" s="89">
        <v>0</v>
      </c>
      <c r="G19" s="22">
        <f>D19+E19+F19</f>
        <v>0</v>
      </c>
      <c r="H19" s="46">
        <f>database!F19</f>
        <v>0</v>
      </c>
      <c r="I19" s="22">
        <f>+H19-D19</f>
        <v>0</v>
      </c>
      <c r="J19" s="129" t="s">
        <v>50</v>
      </c>
      <c r="K19" s="46">
        <f t="shared" si="3"/>
        <v>0</v>
      </c>
      <c r="L19" s="22">
        <v>0</v>
      </c>
      <c r="M19" s="22">
        <f t="shared" si="4"/>
        <v>0</v>
      </c>
      <c r="N19" s="129" t="s">
        <v>50</v>
      </c>
      <c r="O19" s="46">
        <f>F19</f>
        <v>0</v>
      </c>
      <c r="P19" s="22">
        <f>database!G19</f>
        <v>0</v>
      </c>
      <c r="Q19" s="22">
        <f>P19-O19</f>
        <v>0</v>
      </c>
      <c r="R19" s="129" t="s">
        <v>50</v>
      </c>
      <c r="S19" s="46">
        <f>+H19+L19+P19</f>
        <v>0</v>
      </c>
      <c r="T19" s="22">
        <f t="shared" si="7"/>
        <v>0</v>
      </c>
      <c r="U19" s="129" t="s">
        <v>50</v>
      </c>
      <c r="W19" s="96"/>
    </row>
    <row r="20" spans="1:23" ht="12.75">
      <c r="A20">
        <f t="shared" si="0"/>
        <v>18</v>
      </c>
      <c r="B20" s="38" t="s">
        <v>11</v>
      </c>
      <c r="C20" s="17">
        <f aca="true" t="shared" si="10" ref="C20:H20">C14+C15+C18+C19</f>
        <v>1678.359322</v>
      </c>
      <c r="D20" s="87">
        <f t="shared" si="10"/>
        <v>150239663.44744688</v>
      </c>
      <c r="E20" s="87">
        <f t="shared" si="10"/>
        <v>5279945.715174111</v>
      </c>
      <c r="F20" s="87">
        <f t="shared" si="10"/>
        <v>5711003.015835656</v>
      </c>
      <c r="G20" s="18">
        <f t="shared" si="10"/>
        <v>161230612.17845663</v>
      </c>
      <c r="H20" s="44">
        <f t="shared" si="10"/>
        <v>167552236.62102705</v>
      </c>
      <c r="I20" s="18">
        <f>+H20-D20</f>
        <v>17312573.17358017</v>
      </c>
      <c r="J20" s="48">
        <f t="shared" si="2"/>
        <v>0.10737770538523979</v>
      </c>
      <c r="K20" s="44">
        <f>K14+K15+K18+K19</f>
        <v>5279945.715174111</v>
      </c>
      <c r="L20" s="18">
        <f>L14+L15+L18+L19</f>
        <v>0</v>
      </c>
      <c r="M20" s="18">
        <f t="shared" si="4"/>
        <v>-5279945.715174111</v>
      </c>
      <c r="N20" s="93">
        <f t="shared" si="5"/>
        <v>-0.03274778681191169</v>
      </c>
      <c r="O20" s="44">
        <f>O14+O15+O18+O19</f>
        <v>5711003.015835656</v>
      </c>
      <c r="P20" s="18">
        <f>P14+P15+P18+P19</f>
        <v>5454278.629672056</v>
      </c>
      <c r="Q20" s="18">
        <f>P20-O20</f>
        <v>-256724.3861635998</v>
      </c>
      <c r="R20" s="93">
        <f t="shared" si="6"/>
        <v>-0.0015922806636710326</v>
      </c>
      <c r="S20" s="44">
        <f>S14+S15+S18+S19</f>
        <v>173006515.2506991</v>
      </c>
      <c r="T20" s="18">
        <f t="shared" si="7"/>
        <v>11775903.072242469</v>
      </c>
      <c r="U20" s="48">
        <f t="shared" si="8"/>
        <v>0.07303763790965712</v>
      </c>
      <c r="W20" s="96"/>
    </row>
    <row r="21" spans="1:21" ht="12.75">
      <c r="A21">
        <f t="shared" si="0"/>
        <v>19</v>
      </c>
      <c r="B21" s="39"/>
      <c r="C21" s="19"/>
      <c r="D21" s="88"/>
      <c r="E21" s="88"/>
      <c r="F21" s="88"/>
      <c r="G21" s="20"/>
      <c r="H21" s="45"/>
      <c r="I21" s="20"/>
      <c r="J21" s="63"/>
      <c r="K21" s="45"/>
      <c r="L21" s="20"/>
      <c r="M21" s="20"/>
      <c r="N21" s="92"/>
      <c r="O21" s="45"/>
      <c r="P21" s="20"/>
      <c r="Q21" s="20"/>
      <c r="R21" s="92"/>
      <c r="S21" s="45"/>
      <c r="T21" s="20"/>
      <c r="U21" s="63"/>
    </row>
    <row r="22" spans="1:23" ht="12.75">
      <c r="A22">
        <f t="shared" si="0"/>
        <v>20</v>
      </c>
      <c r="B22" s="39" t="s">
        <v>4</v>
      </c>
      <c r="C22" s="19">
        <v>192.648476</v>
      </c>
      <c r="D22" s="88">
        <f>database!E22</f>
        <v>18286843.02137324</v>
      </c>
      <c r="E22" s="88">
        <f>database!B22</f>
        <v>665962.5200624219</v>
      </c>
      <c r="F22" s="88">
        <f>database!C22</f>
        <v>716471.6016251052</v>
      </c>
      <c r="G22" s="20">
        <f>D22+E22+F22</f>
        <v>19669277.143060762</v>
      </c>
      <c r="H22" s="45">
        <f>database!F22</f>
        <v>20394091.537887927</v>
      </c>
      <c r="I22" s="20">
        <f>+H22-D22</f>
        <v>2107248.5165146887</v>
      </c>
      <c r="J22" s="63">
        <f>+I22/G22</f>
        <v>0.10713400910404666</v>
      </c>
      <c r="K22" s="45">
        <f>E22</f>
        <v>665962.5200624219</v>
      </c>
      <c r="L22" s="20">
        <v>0</v>
      </c>
      <c r="M22" s="20">
        <f>L22-K22</f>
        <v>-665962.5200624219</v>
      </c>
      <c r="N22" s="61">
        <f>+M22/G22</f>
        <v>-0.033858006840753206</v>
      </c>
      <c r="O22" s="45">
        <f>F22</f>
        <v>716471.6016251052</v>
      </c>
      <c r="P22" s="20">
        <f>database!G22</f>
        <v>525575.388646511</v>
      </c>
      <c r="Q22" s="20">
        <f>P22-O22</f>
        <v>-190896.21297859424</v>
      </c>
      <c r="R22" s="61">
        <f>+Q22/G22</f>
        <v>-0.009705298857204909</v>
      </c>
      <c r="S22" s="45">
        <f>+H22+L22+P22</f>
        <v>20919666.926534437</v>
      </c>
      <c r="T22" s="20">
        <f>S22-G22</f>
        <v>1250389.7834736742</v>
      </c>
      <c r="U22" s="63">
        <f>T22/G22</f>
        <v>0.06357070340608864</v>
      </c>
      <c r="W22" s="96"/>
    </row>
    <row r="23" spans="1:23" ht="12.75">
      <c r="A23">
        <f t="shared" si="0"/>
        <v>21</v>
      </c>
      <c r="B23" s="55" t="s">
        <v>5</v>
      </c>
      <c r="C23" s="21">
        <v>104.393439</v>
      </c>
      <c r="D23" s="89">
        <f>database!E23</f>
        <v>22338108.07722</v>
      </c>
      <c r="E23" s="89">
        <f>database!B23</f>
        <v>365351.43850175396</v>
      </c>
      <c r="F23" s="89">
        <f>database!C23</f>
        <v>422941.0808745685</v>
      </c>
      <c r="G23" s="22">
        <f>D23+E23+F23</f>
        <v>23126400.596596323</v>
      </c>
      <c r="H23" s="46">
        <f>database!F23</f>
        <v>24633382.395468466</v>
      </c>
      <c r="I23" s="22">
        <f>+H23-D23</f>
        <v>2295274.3182484657</v>
      </c>
      <c r="J23" s="57">
        <f>+I23/G23</f>
        <v>0.09924909449965498</v>
      </c>
      <c r="K23" s="46">
        <f>E23</f>
        <v>365351.43850175396</v>
      </c>
      <c r="L23" s="22">
        <v>0</v>
      </c>
      <c r="M23" s="22">
        <f>L23-K23</f>
        <v>-365351.43850175396</v>
      </c>
      <c r="N23" s="97">
        <f>+M23/G23</f>
        <v>-0.01579802429590039</v>
      </c>
      <c r="O23" s="46">
        <f>F23</f>
        <v>422941.0808745685</v>
      </c>
      <c r="P23" s="22">
        <f>database!G23</f>
        <v>403570.4509134289</v>
      </c>
      <c r="Q23" s="22">
        <f>P23-O23</f>
        <v>-19370.62996113958</v>
      </c>
      <c r="R23" s="97">
        <f>+Q23/G23</f>
        <v>-0.0008375981329316977</v>
      </c>
      <c r="S23" s="46">
        <f>+H23+L23+P23</f>
        <v>25036952.846381895</v>
      </c>
      <c r="T23" s="22">
        <f>S23-G23</f>
        <v>1910552.2497855723</v>
      </c>
      <c r="U23" s="57">
        <f>T23/G23</f>
        <v>0.0826134720708229</v>
      </c>
      <c r="W23" s="96"/>
    </row>
    <row r="24" spans="1:23" ht="12.75">
      <c r="A24">
        <f t="shared" si="0"/>
        <v>22</v>
      </c>
      <c r="B24" s="38" t="s">
        <v>23</v>
      </c>
      <c r="C24" s="17">
        <f>SUM(C22:C23)</f>
        <v>297.041915</v>
      </c>
      <c r="D24" s="87">
        <f>SUM(D22:D23)</f>
        <v>40624951.098593235</v>
      </c>
      <c r="E24" s="87">
        <f>SUM(E22:E23)</f>
        <v>1031313.9585641759</v>
      </c>
      <c r="F24" s="87">
        <f>SUM(F22:F23)</f>
        <v>1139412.6824996737</v>
      </c>
      <c r="G24" s="18">
        <f>G22+G23</f>
        <v>42795677.73965709</v>
      </c>
      <c r="H24" s="44">
        <f>SUM(H22:H23)</f>
        <v>45027473.93335639</v>
      </c>
      <c r="I24" s="18">
        <f>+H24-D24</f>
        <v>4402522.834763154</v>
      </c>
      <c r="J24" s="48">
        <f>+I24/G24</f>
        <v>0.1028730719383726</v>
      </c>
      <c r="K24" s="44">
        <f>SUM(K22:K23)</f>
        <v>1031313.9585641759</v>
      </c>
      <c r="L24" s="18">
        <f>L22+L23</f>
        <v>0</v>
      </c>
      <c r="M24" s="18">
        <f>L24-K24</f>
        <v>-1031313.9585641759</v>
      </c>
      <c r="N24" s="93">
        <f>+M24/G24</f>
        <v>-0.02409855417731818</v>
      </c>
      <c r="O24" s="44">
        <f>SUM(O22:O23)</f>
        <v>1139412.6824996737</v>
      </c>
      <c r="P24" s="18">
        <f>SUM(P22:P23)</f>
        <v>929145.8395599399</v>
      </c>
      <c r="Q24" s="18">
        <f>P24-O24</f>
        <v>-210266.84293973376</v>
      </c>
      <c r="R24" s="93">
        <f>+Q24/G24</f>
        <v>-0.004913272882810024</v>
      </c>
      <c r="S24" s="44">
        <f>S22+S23</f>
        <v>45956619.77291633</v>
      </c>
      <c r="T24" s="18">
        <f>S24-G24</f>
        <v>3160942.033259243</v>
      </c>
      <c r="U24" s="48">
        <f>T24/G24</f>
        <v>0.07386124487824434</v>
      </c>
      <c r="W24" s="96"/>
    </row>
    <row r="25" spans="1:21" ht="12.75">
      <c r="A25">
        <f t="shared" si="0"/>
        <v>23</v>
      </c>
      <c r="B25" s="39"/>
      <c r="C25" s="19"/>
      <c r="D25" s="88"/>
      <c r="E25" s="88"/>
      <c r="F25" s="88"/>
      <c r="G25" s="20"/>
      <c r="H25" s="45"/>
      <c r="I25" s="20"/>
      <c r="J25" s="63"/>
      <c r="K25" s="45"/>
      <c r="L25" s="20"/>
      <c r="M25" s="20"/>
      <c r="N25" s="92"/>
      <c r="O25" s="45"/>
      <c r="P25" s="20"/>
      <c r="Q25" s="20"/>
      <c r="R25" s="92"/>
      <c r="S25" s="45"/>
      <c r="T25" s="20"/>
      <c r="U25" s="63"/>
    </row>
    <row r="26" spans="1:23" ht="12.75">
      <c r="A26">
        <f t="shared" si="0"/>
        <v>24</v>
      </c>
      <c r="B26" s="56" t="s">
        <v>25</v>
      </c>
      <c r="C26" s="17">
        <f aca="true" t="shared" si="11" ref="C26:H26">C7+C12+C20+C24</f>
        <v>9311.476658</v>
      </c>
      <c r="D26" s="87">
        <f t="shared" si="11"/>
        <v>1124815520.6974525</v>
      </c>
      <c r="E26" s="87">
        <f t="shared" si="11"/>
        <v>33462635.443855725</v>
      </c>
      <c r="F26" s="87">
        <f t="shared" si="11"/>
        <v>32217366.70709234</v>
      </c>
      <c r="G26" s="18">
        <f t="shared" si="11"/>
        <v>1190495522.8484006</v>
      </c>
      <c r="H26" s="44">
        <f t="shared" si="11"/>
        <v>1254152618.9937184</v>
      </c>
      <c r="I26" s="18">
        <f>+H26-D26</f>
        <v>129337098.29626584</v>
      </c>
      <c r="J26" s="48">
        <f>+I26/G26</f>
        <v>0.10864139832026551</v>
      </c>
      <c r="K26" s="44">
        <f>K7+K12+K20+K24</f>
        <v>33462635.443855725</v>
      </c>
      <c r="L26" s="18">
        <f>L7+L12+L20+L24</f>
        <v>0</v>
      </c>
      <c r="M26" s="18">
        <f>L26-K26</f>
        <v>-33462635.443855725</v>
      </c>
      <c r="N26" s="93">
        <f>+M26/G26</f>
        <v>-0.028108157319056887</v>
      </c>
      <c r="O26" s="44">
        <f>F26</f>
        <v>32217366.70709234</v>
      </c>
      <c r="P26" s="18">
        <f>P7+P12+P20+P24</f>
        <v>27556030.672780212</v>
      </c>
      <c r="Q26" s="18">
        <f>P26-O26</f>
        <v>-4661336.034312129</v>
      </c>
      <c r="R26" s="93">
        <f>+Q26/G26</f>
        <v>-0.003915458684934265</v>
      </c>
      <c r="S26" s="44">
        <f>S7+S12+S20+S24</f>
        <v>1281708649.6664987</v>
      </c>
      <c r="T26" s="18">
        <f>S26-G26</f>
        <v>91213126.81809807</v>
      </c>
      <c r="U26" s="48">
        <f>T26/G26</f>
        <v>0.07661778231627443</v>
      </c>
      <c r="W26" s="96"/>
    </row>
    <row r="27" spans="1:21" ht="12.75">
      <c r="A27">
        <f t="shared" si="0"/>
        <v>25</v>
      </c>
      <c r="B27" s="39"/>
      <c r="C27" s="19"/>
      <c r="D27" s="88"/>
      <c r="E27" s="88"/>
      <c r="F27" s="88"/>
      <c r="G27" s="20"/>
      <c r="H27" s="45"/>
      <c r="I27" s="20"/>
      <c r="J27" s="63"/>
      <c r="K27" s="45"/>
      <c r="L27" s="20"/>
      <c r="M27" s="20"/>
      <c r="N27" s="92"/>
      <c r="O27" s="45"/>
      <c r="P27" s="20"/>
      <c r="Q27" s="20"/>
      <c r="R27" s="92"/>
      <c r="S27" s="45"/>
      <c r="T27" s="20"/>
      <c r="U27" s="63"/>
    </row>
    <row r="28" spans="1:21" ht="12.75">
      <c r="A28">
        <f t="shared" si="0"/>
        <v>26</v>
      </c>
      <c r="B28" s="38" t="s">
        <v>48</v>
      </c>
      <c r="C28" s="19"/>
      <c r="D28" s="88"/>
      <c r="E28" s="88"/>
      <c r="F28" s="88"/>
      <c r="G28" s="20"/>
      <c r="H28" s="45"/>
      <c r="I28" s="20"/>
      <c r="J28" s="63"/>
      <c r="K28" s="45"/>
      <c r="L28" s="20"/>
      <c r="M28" s="20"/>
      <c r="N28" s="93"/>
      <c r="O28" s="45"/>
      <c r="P28" s="20"/>
      <c r="Q28" s="20"/>
      <c r="R28" s="93"/>
      <c r="S28" s="45"/>
      <c r="T28" s="20"/>
      <c r="U28" s="63"/>
    </row>
    <row r="29" spans="1:23" ht="12.75">
      <c r="A29">
        <f t="shared" si="0"/>
        <v>27</v>
      </c>
      <c r="B29" s="39" t="s">
        <v>6</v>
      </c>
      <c r="C29" s="19">
        <v>18.814683</v>
      </c>
      <c r="D29" s="88">
        <f>database!E29</f>
        <v>1094660</v>
      </c>
      <c r="E29" s="88">
        <f>database!B29</f>
        <v>0</v>
      </c>
      <c r="F29" s="88">
        <f>database!C29</f>
        <v>0</v>
      </c>
      <c r="G29" s="20">
        <f>D29+E29+F29</f>
        <v>1094660</v>
      </c>
      <c r="H29" s="45">
        <f>database!F29</f>
        <v>1094660</v>
      </c>
      <c r="I29" s="20">
        <f>+H29-D29</f>
        <v>0</v>
      </c>
      <c r="J29" s="63">
        <f>+I29/G29</f>
        <v>0</v>
      </c>
      <c r="K29" s="45">
        <f>E29</f>
        <v>0</v>
      </c>
      <c r="L29" s="20">
        <v>0</v>
      </c>
      <c r="M29" s="20">
        <f>L29-K29</f>
        <v>0</v>
      </c>
      <c r="N29" s="61">
        <f>+M29/G29</f>
        <v>0</v>
      </c>
      <c r="O29" s="45">
        <f>F29</f>
        <v>0</v>
      </c>
      <c r="P29" s="20">
        <f>database!G29</f>
        <v>0</v>
      </c>
      <c r="Q29" s="20">
        <f>P29-O29</f>
        <v>0</v>
      </c>
      <c r="R29" s="61">
        <f>+Q29/G29</f>
        <v>0</v>
      </c>
      <c r="S29" s="45">
        <f>+H29+L29+P29</f>
        <v>1094660</v>
      </c>
      <c r="T29" s="20">
        <f>S29-G29</f>
        <v>0</v>
      </c>
      <c r="U29" s="63">
        <f>T29/G29</f>
        <v>0</v>
      </c>
      <c r="W29" s="96"/>
    </row>
    <row r="30" spans="1:23" ht="12.75">
      <c r="A30">
        <f t="shared" si="0"/>
        <v>28</v>
      </c>
      <c r="B30" s="40" t="s">
        <v>12</v>
      </c>
      <c r="C30" s="19">
        <v>178.92</v>
      </c>
      <c r="D30" s="88">
        <f>database!E31</f>
        <v>10282532</v>
      </c>
      <c r="E30" s="88">
        <f>+database!B31</f>
        <v>0</v>
      </c>
      <c r="F30" s="88">
        <f>+database!C31</f>
        <v>419450.54009040515</v>
      </c>
      <c r="G30" s="20">
        <f>D30+E30+F30</f>
        <v>10701982.540090404</v>
      </c>
      <c r="H30" s="45">
        <f>database!F31</f>
        <v>10282532</v>
      </c>
      <c r="I30" s="20">
        <f>+H30-D30</f>
        <v>0</v>
      </c>
      <c r="J30" s="66">
        <f>+I30/G30</f>
        <v>0</v>
      </c>
      <c r="K30" s="45">
        <f>E30</f>
        <v>0</v>
      </c>
      <c r="L30" s="20">
        <v>0</v>
      </c>
      <c r="M30" s="20">
        <f>L30-K30</f>
        <v>0</v>
      </c>
      <c r="N30" s="61">
        <f>+M30/G30</f>
        <v>0</v>
      </c>
      <c r="O30" s="45">
        <f>F30</f>
        <v>419450.54009040515</v>
      </c>
      <c r="P30" s="20">
        <f>database!G31</f>
        <v>290428.52609767375</v>
      </c>
      <c r="Q30" s="20">
        <f>P30-O30</f>
        <v>-129022.0139927314</v>
      </c>
      <c r="R30" s="61">
        <f>+Q30/G30</f>
        <v>-0.012055898382323607</v>
      </c>
      <c r="S30" s="45">
        <f>+H30+L30+P30</f>
        <v>10572960.526097674</v>
      </c>
      <c r="T30" s="20">
        <f>S30-G30</f>
        <v>-129022.01399273053</v>
      </c>
      <c r="U30" s="63">
        <f>T30/G30</f>
        <v>-0.012055898382323526</v>
      </c>
      <c r="W30" s="96"/>
    </row>
    <row r="31" spans="2:23" ht="12.75">
      <c r="B31" s="40" t="s">
        <v>78</v>
      </c>
      <c r="C31" s="19">
        <v>322.080003</v>
      </c>
      <c r="D31" s="88">
        <f>database!E33</f>
        <v>21183202</v>
      </c>
      <c r="E31" s="88">
        <f>database!B19*0.7297</f>
        <v>879406.3053934622</v>
      </c>
      <c r="F31" s="88">
        <f>database!C19*0.7297</f>
        <v>1219578.0293619048</v>
      </c>
      <c r="G31" s="20">
        <f>D31+E31+F31</f>
        <v>23282186.334755365</v>
      </c>
      <c r="H31" s="45">
        <f>database!F33</f>
        <v>21183202</v>
      </c>
      <c r="I31" s="20">
        <f>+H31-D31</f>
        <v>0</v>
      </c>
      <c r="J31" s="66">
        <f>+I31/G31</f>
        <v>0</v>
      </c>
      <c r="K31" s="45">
        <f>E31</f>
        <v>879406.3053934622</v>
      </c>
      <c r="L31" s="20">
        <v>0</v>
      </c>
      <c r="M31" s="20">
        <f>L31-K31</f>
        <v>-879406.3053934622</v>
      </c>
      <c r="N31" s="61">
        <f>+M31/G31</f>
        <v>-0.03777163762669038</v>
      </c>
      <c r="O31" s="45">
        <f>F31</f>
        <v>1219578.0293619048</v>
      </c>
      <c r="P31" s="20">
        <f>database!G33</f>
        <v>1330573.3497849514</v>
      </c>
      <c r="Q31" s="20">
        <f>P31-O31</f>
        <v>110995.32042304659</v>
      </c>
      <c r="R31" s="61">
        <f>+Q31/G31</f>
        <v>0.004767392496011173</v>
      </c>
      <c r="S31" s="45">
        <f>+H31+L31+P31</f>
        <v>22513775.34978495</v>
      </c>
      <c r="T31" s="20">
        <f>S31-G31</f>
        <v>-768410.9849704131</v>
      </c>
      <c r="U31" s="63">
        <f>T31/G31</f>
        <v>-0.033004245130679094</v>
      </c>
      <c r="W31" s="96"/>
    </row>
    <row r="32" spans="1:23" ht="12.75">
      <c r="A32">
        <f>A30+1</f>
        <v>29</v>
      </c>
      <c r="B32" s="41" t="s">
        <v>13</v>
      </c>
      <c r="C32" s="21">
        <v>189</v>
      </c>
      <c r="D32" s="89">
        <f>database!E32</f>
        <v>9934827</v>
      </c>
      <c r="E32" s="167">
        <f>database!B32</f>
        <v>0</v>
      </c>
      <c r="F32" s="167">
        <f>database!C32</f>
        <v>0</v>
      </c>
      <c r="G32" s="22">
        <f>D32+E32+F32</f>
        <v>9934827</v>
      </c>
      <c r="H32" s="46">
        <f>database!F32</f>
        <v>9934827</v>
      </c>
      <c r="I32" s="22">
        <f>+H32-D32</f>
        <v>0</v>
      </c>
      <c r="J32" s="57">
        <f>+I32/G32</f>
        <v>0</v>
      </c>
      <c r="K32" s="46">
        <f>E32</f>
        <v>0</v>
      </c>
      <c r="L32" s="22">
        <v>0</v>
      </c>
      <c r="M32" s="22">
        <f>L32-K32</f>
        <v>0</v>
      </c>
      <c r="N32" s="97">
        <f>+M32/G32</f>
        <v>0</v>
      </c>
      <c r="O32" s="46">
        <f>F32</f>
        <v>0</v>
      </c>
      <c r="P32" s="22">
        <f>database!G32</f>
        <v>0</v>
      </c>
      <c r="Q32" s="22">
        <f>P32-O32</f>
        <v>0</v>
      </c>
      <c r="R32" s="97">
        <f>+Q32/G32</f>
        <v>0</v>
      </c>
      <c r="S32" s="46">
        <f>+H32+L32+P32</f>
        <v>9934827</v>
      </c>
      <c r="T32" s="22">
        <f>S32-G32</f>
        <v>0</v>
      </c>
      <c r="U32" s="57">
        <f>T32/G32</f>
        <v>0</v>
      </c>
      <c r="W32" s="96"/>
    </row>
    <row r="33" spans="1:23" ht="12.75">
      <c r="A33">
        <f t="shared" si="0"/>
        <v>30</v>
      </c>
      <c r="B33" s="56" t="s">
        <v>49</v>
      </c>
      <c r="C33" s="17">
        <f>SUM(C29:C32)</f>
        <v>708.8146859999999</v>
      </c>
      <c r="D33" s="87">
        <f>SUM(D29:D32)</f>
        <v>42495221</v>
      </c>
      <c r="E33" s="87">
        <f>SUM(E29:E32)</f>
        <v>879406.3053934622</v>
      </c>
      <c r="F33" s="87">
        <f>SUM(F29:F32)</f>
        <v>1639028.56945231</v>
      </c>
      <c r="G33" s="18">
        <f>G29+G30+G31+G32</f>
        <v>45013655.87484577</v>
      </c>
      <c r="H33" s="44">
        <f>SUM(H29:H32)</f>
        <v>42495221</v>
      </c>
      <c r="I33" s="18">
        <f>+H33-D33</f>
        <v>0</v>
      </c>
      <c r="J33" s="48">
        <f>+I33/G33</f>
        <v>0</v>
      </c>
      <c r="K33" s="44">
        <f>SUM(K29:K32)</f>
        <v>879406.3053934622</v>
      </c>
      <c r="L33" s="18">
        <f>SUM(L29:L32)</f>
        <v>0</v>
      </c>
      <c r="M33" s="18">
        <f>L33-K33</f>
        <v>-879406.3053934622</v>
      </c>
      <c r="N33" s="93">
        <f>+M33/G33</f>
        <v>-0.019536433739986137</v>
      </c>
      <c r="O33" s="44">
        <f>F33</f>
        <v>1639028.56945231</v>
      </c>
      <c r="P33" s="18">
        <f>SUM(P29:P32)</f>
        <v>1621001.875882625</v>
      </c>
      <c r="Q33" s="18">
        <f>P33-O33</f>
        <v>-18026.693569684867</v>
      </c>
      <c r="R33" s="93">
        <f>+Q33/G33</f>
        <v>-0.0004004716617509493</v>
      </c>
      <c r="S33" s="44">
        <f>SUM(S29:S32)</f>
        <v>44116222.875882626</v>
      </c>
      <c r="T33" s="18">
        <f>S33-G33</f>
        <v>-897432.9989631474</v>
      </c>
      <c r="U33" s="48">
        <f>T33/G33</f>
        <v>-0.019936905401737096</v>
      </c>
      <c r="W33" s="96"/>
    </row>
    <row r="34" spans="1:21" ht="12.75">
      <c r="A34">
        <f t="shared" si="0"/>
        <v>31</v>
      </c>
      <c r="B34" s="56"/>
      <c r="C34" s="17"/>
      <c r="D34" s="87"/>
      <c r="E34" s="87"/>
      <c r="F34" s="87"/>
      <c r="G34" s="18"/>
      <c r="H34" s="44"/>
      <c r="I34" s="18"/>
      <c r="J34" s="48"/>
      <c r="K34" s="44"/>
      <c r="L34" s="18"/>
      <c r="M34" s="18"/>
      <c r="N34" s="93"/>
      <c r="O34" s="44"/>
      <c r="P34" s="18"/>
      <c r="Q34" s="18"/>
      <c r="R34" s="93"/>
      <c r="S34" s="44"/>
      <c r="T34" s="18"/>
      <c r="U34" s="48"/>
    </row>
    <row r="35" spans="1:21" ht="12.75">
      <c r="A35">
        <f t="shared" si="0"/>
        <v>32</v>
      </c>
      <c r="B35" s="83" t="s">
        <v>47</v>
      </c>
      <c r="C35" s="17"/>
      <c r="D35" s="88">
        <f>database!E38</f>
        <v>1565170</v>
      </c>
      <c r="E35" s="88">
        <v>0</v>
      </c>
      <c r="F35" s="88">
        <v>0</v>
      </c>
      <c r="G35" s="20">
        <f>D35+E35+F35</f>
        <v>1565170</v>
      </c>
      <c r="H35" s="45">
        <f>database!F36</f>
        <v>1962838.6943564923</v>
      </c>
      <c r="I35" s="20">
        <f>+H35-D35</f>
        <v>397668.69435649225</v>
      </c>
      <c r="J35" s="66">
        <f>+I35/G35</f>
        <v>0.2540738030734631</v>
      </c>
      <c r="K35" s="45">
        <f>E35</f>
        <v>0</v>
      </c>
      <c r="L35" s="20">
        <v>0</v>
      </c>
      <c r="M35" s="20">
        <f>L35-K35</f>
        <v>0</v>
      </c>
      <c r="N35" s="61">
        <f>+M35/G35</f>
        <v>0</v>
      </c>
      <c r="O35" s="45">
        <f>F35</f>
        <v>0</v>
      </c>
      <c r="P35" s="20">
        <v>0</v>
      </c>
      <c r="Q35" s="20">
        <f>P35-O35</f>
        <v>0</v>
      </c>
      <c r="R35" s="61">
        <f>+Q35/G35</f>
        <v>0</v>
      </c>
      <c r="S35" s="45">
        <f>+H35+L35+P35</f>
        <v>1962838.6943564923</v>
      </c>
      <c r="T35" s="20">
        <f>S35-G35</f>
        <v>397668.69435649225</v>
      </c>
      <c r="U35" s="62">
        <f>T35/G35</f>
        <v>0.2540738030734631</v>
      </c>
    </row>
    <row r="36" spans="1:21" ht="12.75">
      <c r="A36">
        <f t="shared" si="0"/>
        <v>33</v>
      </c>
      <c r="B36" s="39"/>
      <c r="C36" s="19"/>
      <c r="D36" s="88"/>
      <c r="E36" s="88"/>
      <c r="F36" s="88"/>
      <c r="G36" s="20"/>
      <c r="H36" s="45"/>
      <c r="I36" s="20"/>
      <c r="J36" s="63"/>
      <c r="K36" s="45"/>
      <c r="L36" s="20"/>
      <c r="M36" s="20"/>
      <c r="N36" s="92"/>
      <c r="O36" s="45"/>
      <c r="P36" s="20"/>
      <c r="Q36" s="20"/>
      <c r="R36" s="92"/>
      <c r="S36" s="45"/>
      <c r="T36" s="20"/>
      <c r="U36" s="63"/>
    </row>
    <row r="37" spans="1:21" ht="12.75">
      <c r="A37">
        <f t="shared" si="0"/>
        <v>34</v>
      </c>
      <c r="B37" s="37"/>
      <c r="C37" s="17"/>
      <c r="D37" s="90"/>
      <c r="E37" s="90"/>
      <c r="F37" s="90"/>
      <c r="G37" s="23"/>
      <c r="H37" s="47"/>
      <c r="I37" s="23"/>
      <c r="J37" s="63"/>
      <c r="K37" s="47"/>
      <c r="L37" s="23"/>
      <c r="M37" s="23"/>
      <c r="N37" s="93"/>
      <c r="O37" s="47"/>
      <c r="P37" s="23"/>
      <c r="Q37" s="23"/>
      <c r="R37" s="93"/>
      <c r="S37" s="47"/>
      <c r="T37" s="23"/>
      <c r="U37" s="48"/>
    </row>
    <row r="38" spans="1:21" ht="12.75">
      <c r="A38">
        <f t="shared" si="0"/>
        <v>35</v>
      </c>
      <c r="B38" s="38" t="s">
        <v>15</v>
      </c>
      <c r="C38" s="17">
        <f>C26+C33</f>
        <v>10020.291344</v>
      </c>
      <c r="D38" s="87">
        <f>D26+D33+D35</f>
        <v>1168875911.6974525</v>
      </c>
      <c r="E38" s="87">
        <f>E26+E33+E35</f>
        <v>34342041.74924919</v>
      </c>
      <c r="F38" s="87">
        <f>F26+F33+F35</f>
        <v>33856395.27654465</v>
      </c>
      <c r="G38" s="18">
        <f>G26+G33+G35</f>
        <v>1237074348.7232463</v>
      </c>
      <c r="H38" s="44">
        <f>H26+H33+H35</f>
        <v>1298610678.6880748</v>
      </c>
      <c r="I38" s="18">
        <f>+H38-D38</f>
        <v>129734766.99062228</v>
      </c>
      <c r="J38" s="48">
        <f>+I38/G38</f>
        <v>0.10487224726995456</v>
      </c>
      <c r="K38" s="44">
        <f>K26+K33+K35</f>
        <v>34342041.74924919</v>
      </c>
      <c r="L38" s="18">
        <f>L26+L33+L35</f>
        <v>0</v>
      </c>
      <c r="M38" s="18">
        <f>L38-K38</f>
        <v>-34342041.74924919</v>
      </c>
      <c r="N38" s="93">
        <f>+M38/G38</f>
        <v>-0.027760693433416316</v>
      </c>
      <c r="O38" s="44">
        <f>F38</f>
        <v>33856395.27654465</v>
      </c>
      <c r="P38" s="18">
        <f>P26+P33</f>
        <v>29177032.548662838</v>
      </c>
      <c r="Q38" s="18">
        <f>P38-O38</f>
        <v>-4679362.727881815</v>
      </c>
      <c r="R38" s="93">
        <f>+Q38/G38</f>
        <v>-0.0037826042813928437</v>
      </c>
      <c r="S38" s="44">
        <f>S26+S33+S35</f>
        <v>1327787711.2367377</v>
      </c>
      <c r="T38" s="18">
        <f>S38-G38</f>
        <v>90713362.51349139</v>
      </c>
      <c r="U38" s="48">
        <f>T38/G38</f>
        <v>0.07332894955514549</v>
      </c>
    </row>
    <row r="39" spans="1:21" ht="12.75">
      <c r="A39">
        <f t="shared" si="0"/>
        <v>36</v>
      </c>
      <c r="B39" s="39"/>
      <c r="C39" s="19"/>
      <c r="D39" s="88"/>
      <c r="E39" s="88"/>
      <c r="F39" s="88"/>
      <c r="G39" s="20"/>
      <c r="H39" s="45"/>
      <c r="I39" s="20"/>
      <c r="J39" s="63"/>
      <c r="K39" s="45"/>
      <c r="L39" s="20"/>
      <c r="M39" s="20"/>
      <c r="N39" s="92"/>
      <c r="O39" s="45"/>
      <c r="P39" s="20"/>
      <c r="Q39" s="20"/>
      <c r="R39" s="92"/>
      <c r="S39" s="45"/>
      <c r="T39" s="20"/>
      <c r="U39" s="63"/>
    </row>
    <row r="40" spans="1:21" ht="12.75">
      <c r="A40">
        <f t="shared" si="0"/>
        <v>37</v>
      </c>
      <c r="B40" s="24" t="s">
        <v>16</v>
      </c>
      <c r="C40" s="19">
        <v>28.943</v>
      </c>
      <c r="D40" s="88">
        <f>database!E42</f>
        <v>1806823</v>
      </c>
      <c r="E40" s="88">
        <f>+database!B42</f>
        <v>0</v>
      </c>
      <c r="F40" s="88">
        <f>database!C42</f>
        <v>0</v>
      </c>
      <c r="G40" s="20">
        <f>D40+E40+F40</f>
        <v>1806823</v>
      </c>
      <c r="H40" s="45">
        <f>database!F42</f>
        <v>1806823</v>
      </c>
      <c r="I40" s="20">
        <f>+H40-D40</f>
        <v>0</v>
      </c>
      <c r="J40" s="63">
        <v>0</v>
      </c>
      <c r="K40" s="45">
        <f>E40</f>
        <v>0</v>
      </c>
      <c r="L40" s="20">
        <v>0</v>
      </c>
      <c r="M40" s="20">
        <f>L40-K40</f>
        <v>0</v>
      </c>
      <c r="N40" s="61">
        <f>+M40/G40</f>
        <v>0</v>
      </c>
      <c r="O40" s="45">
        <f>F40</f>
        <v>0</v>
      </c>
      <c r="P40" s="20">
        <f>database!G42</f>
        <v>0</v>
      </c>
      <c r="Q40" s="20">
        <f>P40-O40</f>
        <v>0</v>
      </c>
      <c r="R40" s="61">
        <f>+Q40/G40</f>
        <v>0</v>
      </c>
      <c r="S40" s="45">
        <f>+H40+L40+P40</f>
        <v>1806823</v>
      </c>
      <c r="T40" s="20">
        <f>S40-G40</f>
        <v>0</v>
      </c>
      <c r="U40" s="63">
        <f>T40/G40</f>
        <v>0</v>
      </c>
    </row>
    <row r="41" spans="1:21" ht="12.75">
      <c r="A41">
        <f t="shared" si="0"/>
        <v>38</v>
      </c>
      <c r="B41" s="24"/>
      <c r="C41" s="19"/>
      <c r="D41" s="88"/>
      <c r="E41" s="88"/>
      <c r="F41" s="88"/>
      <c r="G41" s="20"/>
      <c r="H41" s="45"/>
      <c r="I41" s="20"/>
      <c r="J41" s="63"/>
      <c r="K41" s="45"/>
      <c r="L41" s="20"/>
      <c r="M41" s="20"/>
      <c r="N41" s="92"/>
      <c r="O41" s="45"/>
      <c r="P41" s="20"/>
      <c r="Q41" s="20"/>
      <c r="R41" s="92"/>
      <c r="S41" s="45"/>
      <c r="T41" s="20"/>
      <c r="U41" s="63"/>
    </row>
    <row r="42" spans="1:21" ht="12.75">
      <c r="A42">
        <f t="shared" si="0"/>
        <v>39</v>
      </c>
      <c r="B42" s="37" t="s">
        <v>17</v>
      </c>
      <c r="C42" s="17">
        <f aca="true" t="shared" si="12" ref="C42:H42">C38+C40</f>
        <v>10049.234343999999</v>
      </c>
      <c r="D42" s="87">
        <f t="shared" si="12"/>
        <v>1170682734.6974525</v>
      </c>
      <c r="E42" s="87">
        <f t="shared" si="12"/>
        <v>34342041.74924919</v>
      </c>
      <c r="F42" s="87">
        <f t="shared" si="12"/>
        <v>33856395.27654465</v>
      </c>
      <c r="G42" s="18">
        <f t="shared" si="12"/>
        <v>1238881171.7232463</v>
      </c>
      <c r="H42" s="44">
        <f t="shared" si="12"/>
        <v>1300417501.6880748</v>
      </c>
      <c r="I42" s="18">
        <f>+H42-D42</f>
        <v>129734766.99062228</v>
      </c>
      <c r="J42" s="48">
        <f>+I42/G42</f>
        <v>0.1047192983086224</v>
      </c>
      <c r="K42" s="44">
        <f>K38+K40</f>
        <v>34342041.74924919</v>
      </c>
      <c r="L42" s="18">
        <f>L38+L40</f>
        <v>0</v>
      </c>
      <c r="M42" s="18">
        <f>L42-K42</f>
        <v>-34342041.74924919</v>
      </c>
      <c r="N42" s="93">
        <f>+M42/G42</f>
        <v>-0.02772020637094714</v>
      </c>
      <c r="O42" s="44">
        <f>F42</f>
        <v>33856395.27654465</v>
      </c>
      <c r="P42" s="18">
        <f>P38+P40</f>
        <v>29177032.548662838</v>
      </c>
      <c r="Q42" s="18">
        <f>P42-O42</f>
        <v>-4679362.727881815</v>
      </c>
      <c r="R42" s="93">
        <f>+Q42/G42</f>
        <v>-0.0037770876131509555</v>
      </c>
      <c r="S42" s="44">
        <f>S38+S40</f>
        <v>1329594534.2367377</v>
      </c>
      <c r="T42" s="18">
        <f>S42-G42</f>
        <v>90713362.51349139</v>
      </c>
      <c r="U42" s="48">
        <f>T42/G42</f>
        <v>0.0732220043245244</v>
      </c>
    </row>
    <row r="43" spans="1:21" ht="12.75">
      <c r="A43">
        <f t="shared" si="0"/>
        <v>40</v>
      </c>
      <c r="B43" s="24"/>
      <c r="C43" s="19"/>
      <c r="D43" s="88"/>
      <c r="E43" s="88"/>
      <c r="F43" s="88"/>
      <c r="G43" s="20"/>
      <c r="H43" s="45"/>
      <c r="I43" s="20"/>
      <c r="J43" s="63"/>
      <c r="K43" s="45"/>
      <c r="L43" s="20"/>
      <c r="M43" s="20"/>
      <c r="N43" s="92"/>
      <c r="O43" s="45"/>
      <c r="P43" s="20"/>
      <c r="Q43" s="20"/>
      <c r="R43" s="92"/>
      <c r="S43" s="45"/>
      <c r="T43" s="20"/>
      <c r="U43" s="63"/>
    </row>
    <row r="44" spans="1:21" ht="12.75">
      <c r="A44">
        <f t="shared" si="0"/>
        <v>41</v>
      </c>
      <c r="B44" s="39" t="s">
        <v>37</v>
      </c>
      <c r="C44" s="19">
        <f>700.760344+0.897</f>
        <v>701.6573440000001</v>
      </c>
      <c r="D44" s="88">
        <f>database!E49</f>
        <v>21959248.80253</v>
      </c>
      <c r="E44" s="88">
        <v>0</v>
      </c>
      <c r="F44" s="88">
        <v>0</v>
      </c>
      <c r="G44" s="20">
        <f>D44+E44+F44</f>
        <v>21959248.80253</v>
      </c>
      <c r="H44" s="45">
        <f>database!F49</f>
        <v>22582498.31192314</v>
      </c>
      <c r="I44" s="20">
        <f>+H44-D44</f>
        <v>623249.509393137</v>
      </c>
      <c r="J44" s="62">
        <f>+I44/G44</f>
        <v>0.028382096081598664</v>
      </c>
      <c r="K44" s="45">
        <f>E44</f>
        <v>0</v>
      </c>
      <c r="L44" s="20">
        <v>0</v>
      </c>
      <c r="M44" s="20">
        <f>L44-K44</f>
        <v>0</v>
      </c>
      <c r="N44" s="61">
        <f>+M44/G44</f>
        <v>0</v>
      </c>
      <c r="O44" s="45">
        <f>F44</f>
        <v>0</v>
      </c>
      <c r="P44" s="20">
        <f>database!G47</f>
        <v>0</v>
      </c>
      <c r="Q44" s="20">
        <f>P44-O44</f>
        <v>0</v>
      </c>
      <c r="R44" s="61">
        <f>+Q44/G44</f>
        <v>0</v>
      </c>
      <c r="S44" s="45">
        <f>+H44+L44+P44</f>
        <v>22582498.31192314</v>
      </c>
      <c r="T44" s="20">
        <f>S44-G44</f>
        <v>623249.509393137</v>
      </c>
      <c r="U44" s="63">
        <f>T44/G44</f>
        <v>0.028382096081598664</v>
      </c>
    </row>
    <row r="45" spans="1:21" ht="12.75">
      <c r="A45">
        <f t="shared" si="0"/>
        <v>42</v>
      </c>
      <c r="B45" s="24"/>
      <c r="C45" s="19"/>
      <c r="D45" s="88"/>
      <c r="E45" s="88"/>
      <c r="F45" s="88"/>
      <c r="G45" s="20"/>
      <c r="H45" s="45"/>
      <c r="I45" s="20"/>
      <c r="J45" s="63"/>
      <c r="K45" s="45"/>
      <c r="L45" s="20"/>
      <c r="M45" s="20"/>
      <c r="N45" s="92"/>
      <c r="O45" s="45"/>
      <c r="P45" s="20"/>
      <c r="Q45" s="20"/>
      <c r="R45" s="92"/>
      <c r="S45" s="45"/>
      <c r="T45" s="20"/>
      <c r="U45" s="63"/>
    </row>
    <row r="46" spans="1:23" ht="12.75">
      <c r="A46">
        <f t="shared" si="0"/>
        <v>43</v>
      </c>
      <c r="B46" s="36" t="s">
        <v>35</v>
      </c>
      <c r="C46" s="17">
        <f aca="true" t="shared" si="13" ref="C46:H46">C42+C44</f>
        <v>10750.891687999998</v>
      </c>
      <c r="D46" s="90">
        <f t="shared" si="13"/>
        <v>1192641983.4999826</v>
      </c>
      <c r="E46" s="90">
        <f t="shared" si="13"/>
        <v>34342041.74924919</v>
      </c>
      <c r="F46" s="90">
        <f t="shared" si="13"/>
        <v>33856395.27654465</v>
      </c>
      <c r="G46" s="23">
        <f t="shared" si="13"/>
        <v>1260840420.5257764</v>
      </c>
      <c r="H46" s="47">
        <f t="shared" si="13"/>
        <v>1322999999.9999979</v>
      </c>
      <c r="I46" s="23">
        <f>+H46-D46</f>
        <v>130358016.50001526</v>
      </c>
      <c r="J46" s="48">
        <f>+I46/G46</f>
        <v>0.10338978222609278</v>
      </c>
      <c r="K46" s="44">
        <f>K42+K44</f>
        <v>34342041.74924919</v>
      </c>
      <c r="L46" s="18">
        <f>L42+L44</f>
        <v>0</v>
      </c>
      <c r="M46" s="18">
        <f>L46-K46</f>
        <v>-34342041.74924919</v>
      </c>
      <c r="N46" s="93">
        <f>+M46/G46</f>
        <v>-0.027237421318495166</v>
      </c>
      <c r="O46" s="44">
        <f>F46</f>
        <v>33856395.27654465</v>
      </c>
      <c r="P46" s="23">
        <f>P42+P44</f>
        <v>29177032.548662838</v>
      </c>
      <c r="Q46" s="18">
        <f>P46-O46</f>
        <v>-4679362.727881815</v>
      </c>
      <c r="R46" s="93">
        <f>+Q46/G46</f>
        <v>-0.0037113045011124396</v>
      </c>
      <c r="S46" s="44">
        <f>S42+S44</f>
        <v>1352177032.5486608</v>
      </c>
      <c r="T46" s="23">
        <f>S46-G46</f>
        <v>91336612.02288437</v>
      </c>
      <c r="U46" s="48">
        <f>T46/G46</f>
        <v>0.07244105640648527</v>
      </c>
      <c r="W46" s="96"/>
    </row>
    <row r="47" spans="1:21" ht="12.75">
      <c r="A47">
        <f t="shared" si="0"/>
        <v>44</v>
      </c>
      <c r="B47" s="42"/>
      <c r="C47" s="8"/>
      <c r="D47" s="9"/>
      <c r="E47" s="9"/>
      <c r="F47" s="81"/>
      <c r="G47" s="9"/>
      <c r="H47" s="8"/>
      <c r="I47" s="9"/>
      <c r="J47" s="64"/>
      <c r="K47" s="8"/>
      <c r="L47" s="9"/>
      <c r="M47" s="9"/>
      <c r="N47" s="84"/>
      <c r="O47" s="8"/>
      <c r="P47" s="9"/>
      <c r="Q47" s="9"/>
      <c r="R47" s="84"/>
      <c r="S47" s="8"/>
      <c r="T47" s="9"/>
      <c r="U47" s="64"/>
    </row>
    <row r="48" spans="1:21" ht="12.75">
      <c r="A48">
        <f t="shared" si="0"/>
        <v>45</v>
      </c>
      <c r="F48" s="82"/>
      <c r="G48" s="91"/>
      <c r="J48" s="85"/>
      <c r="K48" s="85"/>
      <c r="L48" s="85"/>
      <c r="M48" s="85"/>
      <c r="N48" s="85"/>
      <c r="R48" s="85"/>
      <c r="U48" s="85"/>
    </row>
    <row r="49" spans="1:21" ht="12.75">
      <c r="A49">
        <f t="shared" si="0"/>
        <v>46</v>
      </c>
      <c r="B49" t="s">
        <v>95</v>
      </c>
      <c r="F49" s="82"/>
      <c r="G49" s="98"/>
      <c r="H49" s="65"/>
      <c r="J49" s="85"/>
      <c r="K49" s="85"/>
      <c r="L49" s="85"/>
      <c r="M49" s="85"/>
      <c r="N49" s="85"/>
      <c r="P49" s="65"/>
      <c r="R49" s="85"/>
      <c r="S49" s="65"/>
      <c r="T49" s="74"/>
      <c r="U49" s="85"/>
    </row>
    <row r="50" spans="6:21" ht="12.75">
      <c r="F50" s="82"/>
      <c r="G50" s="98"/>
      <c r="H50" s="65"/>
      <c r="J50" s="85"/>
      <c r="K50" s="85"/>
      <c r="L50" s="85"/>
      <c r="M50" s="85"/>
      <c r="N50" s="85"/>
      <c r="R50" s="85"/>
      <c r="T50" s="74"/>
      <c r="U50" s="85"/>
    </row>
    <row r="51" spans="3:21" ht="12.75">
      <c r="C51" s="96"/>
      <c r="D51" s="99"/>
      <c r="E51" s="99"/>
      <c r="F51" s="99"/>
      <c r="G51" s="99"/>
      <c r="H51" s="99"/>
      <c r="I51" s="99"/>
      <c r="J51" s="85"/>
      <c r="K51" s="85"/>
      <c r="L51" s="85"/>
      <c r="M51" s="85"/>
      <c r="N51" s="85"/>
      <c r="P51" s="65"/>
      <c r="R51" s="85"/>
      <c r="U51" s="85"/>
    </row>
    <row r="52" spans="2:21" ht="12.75">
      <c r="B52" s="95"/>
      <c r="C52" s="96"/>
      <c r="D52" s="99"/>
      <c r="E52" s="99"/>
      <c r="F52" s="99"/>
      <c r="G52" s="99"/>
      <c r="H52" s="99"/>
      <c r="I52" s="99"/>
      <c r="J52" s="85"/>
      <c r="K52" s="85"/>
      <c r="L52" s="85"/>
      <c r="M52" s="85"/>
      <c r="N52" s="85"/>
      <c r="P52" s="65"/>
      <c r="R52" s="85"/>
      <c r="T52" s="74"/>
      <c r="U52" s="85"/>
    </row>
    <row r="53" spans="6:21" ht="12.75">
      <c r="F53" s="82"/>
      <c r="G53" s="91"/>
      <c r="J53" s="85"/>
      <c r="K53" s="85"/>
      <c r="L53" s="85"/>
      <c r="M53" s="85"/>
      <c r="N53" s="85"/>
      <c r="P53" s="65"/>
      <c r="R53" s="85"/>
      <c r="U53" s="85"/>
    </row>
    <row r="54" spans="5:21" ht="12.75">
      <c r="E54" s="95"/>
      <c r="F54" s="82"/>
      <c r="G54" s="91"/>
      <c r="J54" s="85"/>
      <c r="K54" s="85"/>
      <c r="L54" s="85"/>
      <c r="M54" s="85"/>
      <c r="N54" s="85"/>
      <c r="P54" s="96"/>
      <c r="U54" s="85"/>
    </row>
    <row r="55" spans="2:21" ht="12.75">
      <c r="B55" s="95"/>
      <c r="F55" s="82"/>
      <c r="G55" s="91"/>
      <c r="J55" s="85"/>
      <c r="K55" s="85"/>
      <c r="L55" s="85"/>
      <c r="M55" s="85"/>
      <c r="N55" s="85"/>
      <c r="P55" s="65"/>
      <c r="U55" s="85"/>
    </row>
    <row r="56" spans="2:21" ht="12.75">
      <c r="B56" s="95"/>
      <c r="C56" s="74"/>
      <c r="D56" s="74"/>
      <c r="F56" s="82"/>
      <c r="G56" s="91"/>
      <c r="J56" s="85"/>
      <c r="K56" s="85"/>
      <c r="L56" s="85"/>
      <c r="M56" s="85"/>
      <c r="N56" s="85"/>
      <c r="U56" s="85"/>
    </row>
    <row r="57" spans="2:14" ht="12.75">
      <c r="B57" s="95"/>
      <c r="C57" s="74"/>
      <c r="D57" s="74"/>
      <c r="F57" s="82"/>
      <c r="J57" s="85"/>
      <c r="K57" s="85"/>
      <c r="L57" s="85"/>
      <c r="M57" s="85"/>
      <c r="N57" s="85"/>
    </row>
    <row r="58" spans="2:14" ht="12.75">
      <c r="B58" s="95"/>
      <c r="C58" s="74"/>
      <c r="D58" s="74"/>
      <c r="E58" s="74"/>
      <c r="J58" s="85"/>
      <c r="K58" s="85"/>
      <c r="L58" s="85"/>
      <c r="M58" s="85"/>
      <c r="N58" s="85"/>
    </row>
    <row r="59" spans="2:14" ht="12.75">
      <c r="B59" s="95"/>
      <c r="C59" s="74"/>
      <c r="D59" s="74"/>
      <c r="E59" s="74"/>
      <c r="J59" s="85"/>
      <c r="K59" s="85"/>
      <c r="L59" s="85"/>
      <c r="M59" s="85"/>
      <c r="N59" s="85"/>
    </row>
    <row r="60" spans="2:14" ht="12.75">
      <c r="B60" s="95"/>
      <c r="C60" s="132"/>
      <c r="D60" s="132"/>
      <c r="E60" s="74"/>
      <c r="J60" s="85"/>
      <c r="K60" s="85"/>
      <c r="L60" s="85"/>
      <c r="M60" s="85"/>
      <c r="N60" s="85"/>
    </row>
    <row r="61" spans="2:14" ht="12.75">
      <c r="B61" s="95"/>
      <c r="C61" s="74"/>
      <c r="D61" s="74"/>
      <c r="E61" s="74"/>
      <c r="J61" s="85"/>
      <c r="K61" s="85"/>
      <c r="L61" s="85"/>
      <c r="M61" s="85"/>
      <c r="N61" s="85"/>
    </row>
    <row r="62" spans="3:14" ht="12.75">
      <c r="C62" s="74"/>
      <c r="D62" s="74"/>
      <c r="J62" s="85"/>
      <c r="K62" s="85"/>
      <c r="L62" s="85"/>
      <c r="M62" s="85"/>
      <c r="N62" s="85"/>
    </row>
    <row r="63" spans="2:14" ht="12.75">
      <c r="B63" s="95"/>
      <c r="C63" s="74"/>
      <c r="D63" s="74"/>
      <c r="E63" s="74"/>
      <c r="J63" s="85"/>
      <c r="K63" s="85"/>
      <c r="L63" s="85"/>
      <c r="M63" s="85"/>
      <c r="N63" s="85"/>
    </row>
    <row r="64" spans="3:14" ht="12.75">
      <c r="C64" s="74"/>
      <c r="D64" s="74"/>
      <c r="E64" s="74"/>
      <c r="J64" s="85"/>
      <c r="K64" s="85"/>
      <c r="L64" s="85"/>
      <c r="M64" s="85"/>
      <c r="N64" s="85"/>
    </row>
    <row r="65" spans="2:14" ht="12.75">
      <c r="B65" s="95"/>
      <c r="C65" s="133"/>
      <c r="D65" s="133"/>
      <c r="E65" s="133"/>
      <c r="J65" s="85"/>
      <c r="K65" s="85"/>
      <c r="L65" s="85"/>
      <c r="M65" s="85"/>
      <c r="N65" s="85"/>
    </row>
    <row r="66" spans="10:14" ht="12.75">
      <c r="J66" s="85"/>
      <c r="K66" s="85"/>
      <c r="L66" s="85"/>
      <c r="M66" s="85"/>
      <c r="N66" s="85"/>
    </row>
  </sheetData>
  <sheetProtection/>
  <mergeCells count="5">
    <mergeCell ref="C2:U2"/>
    <mergeCell ref="H3:J3"/>
    <mergeCell ref="O3:R3"/>
    <mergeCell ref="S3:U3"/>
    <mergeCell ref="K3:N3"/>
  </mergeCells>
  <printOptions/>
  <pageMargins left="0.2" right="0.2" top="0.23" bottom="0.23" header="0.17" footer="0.17"/>
  <pageSetup fitToHeight="1" fitToWidth="1" horizontalDpi="600" verticalDpi="600" orientation="landscape" paperSize="3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bestFit="1" customWidth="1"/>
    <col min="4" max="4" width="16.421875" style="0" bestFit="1" customWidth="1"/>
    <col min="5" max="5" width="13.421875" style="0" bestFit="1" customWidth="1"/>
    <col min="6" max="6" width="12.7109375" style="0" bestFit="1" customWidth="1"/>
    <col min="7" max="7" width="17.00390625" style="0" bestFit="1" customWidth="1"/>
    <col min="8" max="9" width="14.421875" style="0" bestFit="1" customWidth="1"/>
    <col min="10" max="10" width="10.57421875" style="0" customWidth="1"/>
    <col min="11" max="11" width="14.140625" style="0" bestFit="1" customWidth="1"/>
    <col min="12" max="12" width="10.57421875" style="0" customWidth="1"/>
    <col min="13" max="13" width="12.28125" style="0" bestFit="1" customWidth="1"/>
    <col min="14" max="14" width="10.57421875" style="0" customWidth="1"/>
    <col min="15" max="15" width="11.7109375" style="0" bestFit="1" customWidth="1"/>
    <col min="16" max="17" width="11.7109375" style="0" customWidth="1"/>
    <col min="18" max="18" width="9.57421875" style="0" bestFit="1" customWidth="1"/>
    <col min="19" max="20" width="14.421875" style="0" bestFit="1" customWidth="1"/>
    <col min="21" max="21" width="9.8515625" style="0" customWidth="1"/>
    <col min="22" max="22" width="5.421875" style="0" customWidth="1"/>
    <col min="23" max="23" width="14.421875" style="85" bestFit="1" customWidth="1"/>
  </cols>
  <sheetData>
    <row r="1" ht="33" customHeight="1"/>
    <row r="2" spans="2:21" ht="18">
      <c r="B2" s="15"/>
      <c r="C2" s="177" t="s">
        <v>104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65.25" customHeight="1">
      <c r="A3">
        <v>1</v>
      </c>
      <c r="B3" s="53" t="s">
        <v>20</v>
      </c>
      <c r="C3" s="72" t="s">
        <v>77</v>
      </c>
      <c r="D3" s="73" t="s">
        <v>74</v>
      </c>
      <c r="E3" s="73" t="s">
        <v>63</v>
      </c>
      <c r="F3" s="73" t="s">
        <v>64</v>
      </c>
      <c r="G3" s="73" t="s">
        <v>93</v>
      </c>
      <c r="H3" s="174" t="s">
        <v>103</v>
      </c>
      <c r="I3" s="175"/>
      <c r="J3" s="176"/>
      <c r="K3" s="171" t="s">
        <v>38</v>
      </c>
      <c r="L3" s="172"/>
      <c r="M3" s="172"/>
      <c r="N3" s="173"/>
      <c r="O3" s="171" t="s">
        <v>39</v>
      </c>
      <c r="P3" s="172"/>
      <c r="Q3" s="172"/>
      <c r="R3" s="173"/>
      <c r="S3" s="171" t="s">
        <v>94</v>
      </c>
      <c r="T3" s="172"/>
      <c r="U3" s="173"/>
    </row>
    <row r="4" spans="1:22" ht="20.25">
      <c r="A4">
        <f>A3+1</f>
        <v>2</v>
      </c>
      <c r="B4" s="101" t="s">
        <v>66</v>
      </c>
      <c r="C4" s="101" t="s">
        <v>27</v>
      </c>
      <c r="D4" s="102" t="s">
        <v>31</v>
      </c>
      <c r="E4" s="102" t="s">
        <v>28</v>
      </c>
      <c r="F4" s="102" t="s">
        <v>29</v>
      </c>
      <c r="G4" s="121" t="s">
        <v>30</v>
      </c>
      <c r="H4" s="101" t="s">
        <v>52</v>
      </c>
      <c r="I4" s="102" t="s">
        <v>53</v>
      </c>
      <c r="J4" s="103" t="s">
        <v>67</v>
      </c>
      <c r="K4" s="101" t="s">
        <v>54</v>
      </c>
      <c r="L4" s="102" t="s">
        <v>60</v>
      </c>
      <c r="M4" s="102" t="s">
        <v>61</v>
      </c>
      <c r="N4" s="103" t="s">
        <v>68</v>
      </c>
      <c r="O4" s="101" t="s">
        <v>55</v>
      </c>
      <c r="P4" s="102" t="s">
        <v>56</v>
      </c>
      <c r="Q4" s="102" t="s">
        <v>57</v>
      </c>
      <c r="R4" s="103" t="s">
        <v>58</v>
      </c>
      <c r="S4" s="101" t="s">
        <v>59</v>
      </c>
      <c r="T4" s="102" t="s">
        <v>69</v>
      </c>
      <c r="U4" s="103" t="s">
        <v>62</v>
      </c>
      <c r="V4" s="100"/>
    </row>
    <row r="5" spans="1:21" ht="63.75">
      <c r="A5">
        <f aca="true" t="shared" si="0" ref="A5:A50">A4+1</f>
        <v>3</v>
      </c>
      <c r="B5" s="58"/>
      <c r="C5" s="59"/>
      <c r="D5" s="69"/>
      <c r="E5" s="69"/>
      <c r="F5" s="69"/>
      <c r="G5" s="69"/>
      <c r="H5" s="75" t="s">
        <v>32</v>
      </c>
      <c r="I5" s="76" t="s">
        <v>34</v>
      </c>
      <c r="J5" s="77" t="s">
        <v>51</v>
      </c>
      <c r="K5" s="79" t="s">
        <v>43</v>
      </c>
      <c r="L5" s="78" t="s">
        <v>76</v>
      </c>
      <c r="M5" s="78" t="s">
        <v>33</v>
      </c>
      <c r="N5" s="77" t="s">
        <v>51</v>
      </c>
      <c r="O5" s="79" t="s">
        <v>43</v>
      </c>
      <c r="P5" s="78" t="s">
        <v>76</v>
      </c>
      <c r="Q5" s="78" t="s">
        <v>33</v>
      </c>
      <c r="R5" s="77" t="s">
        <v>51</v>
      </c>
      <c r="S5" s="79" t="s">
        <v>32</v>
      </c>
      <c r="T5" s="80" t="s">
        <v>33</v>
      </c>
      <c r="U5" s="77" t="s">
        <v>51</v>
      </c>
    </row>
    <row r="6" spans="1:21" ht="12.75">
      <c r="A6">
        <f t="shared" si="0"/>
        <v>4</v>
      </c>
      <c r="B6" s="37" t="s">
        <v>21</v>
      </c>
      <c r="C6" s="12"/>
      <c r="D6" s="11"/>
      <c r="E6" s="70"/>
      <c r="F6" s="70"/>
      <c r="G6" s="11"/>
      <c r="H6" s="33"/>
      <c r="I6" s="60"/>
      <c r="J6" s="34"/>
      <c r="K6" s="68"/>
      <c r="L6" s="1"/>
      <c r="M6" s="1"/>
      <c r="N6" s="1"/>
      <c r="O6" s="33"/>
      <c r="P6" s="1"/>
      <c r="Q6" s="1"/>
      <c r="R6" s="1"/>
      <c r="S6" s="35"/>
      <c r="T6" s="16"/>
      <c r="U6" s="34"/>
    </row>
    <row r="7" spans="1:23" ht="12.75">
      <c r="A7">
        <f t="shared" si="0"/>
        <v>5</v>
      </c>
      <c r="B7" s="38" t="s">
        <v>8</v>
      </c>
      <c r="C7" s="17">
        <v>4273.208828</v>
      </c>
      <c r="D7" s="87">
        <f>database!E7</f>
        <v>588717083.202889</v>
      </c>
      <c r="E7" s="87">
        <f>database!B7</f>
        <v>15729855.39635859</v>
      </c>
      <c r="F7" s="87">
        <f>database!C7</f>
        <v>13940592.104265573</v>
      </c>
      <c r="G7" s="18">
        <f>D7+E7+F7</f>
        <v>618387530.7035131</v>
      </c>
      <c r="H7" s="44">
        <f>D7+I7</f>
        <v>625410981.4237155</v>
      </c>
      <c r="I7" s="87">
        <f>G7*J7</f>
        <v>36693898.22082653</v>
      </c>
      <c r="J7" s="48">
        <v>0.05933803060207479</v>
      </c>
      <c r="K7" s="44">
        <f>E7</f>
        <v>15729855.39635859</v>
      </c>
      <c r="L7" s="18">
        <v>0</v>
      </c>
      <c r="M7" s="18">
        <f>L7-K7</f>
        <v>-15729855.39635859</v>
      </c>
      <c r="N7" s="93">
        <f>+M7/G7</f>
        <v>-0.02543688967735718</v>
      </c>
      <c r="O7" s="44">
        <f>F7</f>
        <v>13940592.104265573</v>
      </c>
      <c r="P7" s="18">
        <f>database!G7</f>
        <v>11528175.200903017</v>
      </c>
      <c r="Q7" s="18">
        <f>P7-O7</f>
        <v>-2412416.9033625554</v>
      </c>
      <c r="R7" s="93">
        <f>+Q7/G7</f>
        <v>-0.0039011409247176306</v>
      </c>
      <c r="S7" s="44">
        <f>+H7+L7+P7</f>
        <v>636939156.6246185</v>
      </c>
      <c r="T7" s="18">
        <f>S7-G7</f>
        <v>18551625.921105385</v>
      </c>
      <c r="U7" s="48">
        <f>T7/G7</f>
        <v>0.029999999999999985</v>
      </c>
      <c r="W7" s="128"/>
    </row>
    <row r="8" spans="1:21" ht="12.75">
      <c r="A8">
        <f t="shared" si="0"/>
        <v>6</v>
      </c>
      <c r="B8" s="39"/>
      <c r="C8" s="19"/>
      <c r="D8" s="88"/>
      <c r="E8" s="88"/>
      <c r="F8" s="88"/>
      <c r="G8" s="20"/>
      <c r="H8" s="45"/>
      <c r="I8" s="88"/>
      <c r="J8" s="63"/>
      <c r="K8" s="45"/>
      <c r="L8" s="20"/>
      <c r="M8" s="20"/>
      <c r="N8" s="92"/>
      <c r="O8" s="45"/>
      <c r="P8" s="20"/>
      <c r="Q8" s="20"/>
      <c r="R8" s="92"/>
      <c r="S8" s="45"/>
      <c r="T8" s="20"/>
      <c r="U8" s="63"/>
    </row>
    <row r="9" spans="1:23" ht="12.75">
      <c r="A9">
        <f t="shared" si="0"/>
        <v>7</v>
      </c>
      <c r="B9" s="54" t="s">
        <v>0</v>
      </c>
      <c r="C9" s="19">
        <v>231.27671</v>
      </c>
      <c r="D9" s="88">
        <f>database!E9</f>
        <v>31454191.894843403</v>
      </c>
      <c r="E9" s="88">
        <f>database!B9</f>
        <v>836569.9890911216</v>
      </c>
      <c r="F9" s="88">
        <f>database!C9</f>
        <v>784960.1308079566</v>
      </c>
      <c r="G9" s="20">
        <f>D9+E9+F9</f>
        <v>33075722.01474248</v>
      </c>
      <c r="H9" s="45">
        <f>D9+I9</f>
        <v>33404953.841137048</v>
      </c>
      <c r="I9" s="88">
        <f>G9*J9</f>
        <v>1950761.946293644</v>
      </c>
      <c r="J9" s="63">
        <v>0.0589786655427855</v>
      </c>
      <c r="K9" s="45">
        <f>E9</f>
        <v>836569.9890911216</v>
      </c>
      <c r="L9" s="20">
        <v>0</v>
      </c>
      <c r="M9" s="20">
        <f>L9-K9</f>
        <v>-836569.9890911216</v>
      </c>
      <c r="N9" s="61">
        <f>+M9/G9</f>
        <v>-0.02529256923607734</v>
      </c>
      <c r="O9" s="45">
        <f>F9</f>
        <v>784960.1308079566</v>
      </c>
      <c r="P9" s="20">
        <f>database!G9</f>
        <v>663039.8340477052</v>
      </c>
      <c r="Q9" s="20">
        <f>P9-O9</f>
        <v>-121920.2967602514</v>
      </c>
      <c r="R9" s="61">
        <f>+Q9/G9</f>
        <v>-0.003686096306708262</v>
      </c>
      <c r="S9" s="45">
        <f>+H9+L9+P9</f>
        <v>34067993.67518476</v>
      </c>
      <c r="T9" s="20">
        <f>S9-G9</f>
        <v>992271.6604422778</v>
      </c>
      <c r="U9" s="63">
        <f>T9/G9</f>
        <v>0.030000000000000103</v>
      </c>
      <c r="W9" s="128"/>
    </row>
    <row r="10" spans="1:23" ht="12.75">
      <c r="A10">
        <f t="shared" si="0"/>
        <v>8</v>
      </c>
      <c r="B10" s="39" t="s">
        <v>9</v>
      </c>
      <c r="C10" s="19">
        <v>2435.294956</v>
      </c>
      <c r="D10" s="88">
        <f>database!E10</f>
        <v>275984112.15196776</v>
      </c>
      <c r="E10" s="88">
        <f>database!B10</f>
        <v>9236100.686004808</v>
      </c>
      <c r="F10" s="88">
        <f>database!C10</f>
        <v>9197988.818109112</v>
      </c>
      <c r="G10" s="20">
        <f>D10+E10+F10</f>
        <v>294418201.6560817</v>
      </c>
      <c r="H10" s="45">
        <f>D10+I10</f>
        <v>295610504.02260053</v>
      </c>
      <c r="I10" s="88">
        <f>G10*J10</f>
        <v>19626391.870632745</v>
      </c>
      <c r="J10" s="63">
        <v>0.0666616118169178</v>
      </c>
      <c r="K10" s="45">
        <f>E10</f>
        <v>9236100.686004808</v>
      </c>
      <c r="L10" s="20">
        <v>0</v>
      </c>
      <c r="M10" s="20">
        <f>L10-K10</f>
        <v>-9236100.686004808</v>
      </c>
      <c r="N10" s="61">
        <f>+M10/G10</f>
        <v>-0.03137068508010847</v>
      </c>
      <c r="O10" s="45">
        <f>F10</f>
        <v>9197988.818109112</v>
      </c>
      <c r="P10" s="20">
        <f>database!G10</f>
        <v>7640243.683163606</v>
      </c>
      <c r="Q10" s="20">
        <f>P10-O10</f>
        <v>-1557745.1349455062</v>
      </c>
      <c r="R10" s="61">
        <f>+Q10/G10</f>
        <v>-0.005290926736809407</v>
      </c>
      <c r="S10" s="45">
        <f>+H10+L10+P10</f>
        <v>303250747.7057641</v>
      </c>
      <c r="T10" s="20">
        <f>S10-G10</f>
        <v>8832546.049682438</v>
      </c>
      <c r="U10" s="63">
        <f>T10/G10</f>
        <v>0.02999999999999996</v>
      </c>
      <c r="W10" s="128"/>
    </row>
    <row r="11" spans="1:23" ht="12.75">
      <c r="A11">
        <f t="shared" si="0"/>
        <v>9</v>
      </c>
      <c r="B11" s="55" t="s">
        <v>1</v>
      </c>
      <c r="C11" s="21">
        <v>396.294927</v>
      </c>
      <c r="D11" s="89">
        <f>database!E11</f>
        <v>37795518.90171224</v>
      </c>
      <c r="E11" s="89">
        <f>database!B11</f>
        <v>1348849.6986629148</v>
      </c>
      <c r="F11" s="89">
        <f>database!C11</f>
        <v>1443409.955574371</v>
      </c>
      <c r="G11" s="22">
        <f>D11+E11+F11</f>
        <v>40587778.555949524</v>
      </c>
      <c r="H11" s="144">
        <f>D11+I11</f>
        <v>40464264.42719412</v>
      </c>
      <c r="I11" s="89">
        <f>G11*J11</f>
        <v>2668745.5254818792</v>
      </c>
      <c r="J11" s="57">
        <v>0.06575244126265894</v>
      </c>
      <c r="K11" s="46">
        <f>E11</f>
        <v>1348849.6986629148</v>
      </c>
      <c r="L11" s="22">
        <v>0</v>
      </c>
      <c r="M11" s="22">
        <f>L11-K11</f>
        <v>-1348849.6986629148</v>
      </c>
      <c r="N11" s="97">
        <f>+M11/G11</f>
        <v>-0.033232902776473706</v>
      </c>
      <c r="O11" s="46">
        <f>F11</f>
        <v>1443409.955574371</v>
      </c>
      <c r="P11" s="22">
        <f>database!G11</f>
        <v>1341147.4854338877</v>
      </c>
      <c r="Q11" s="22">
        <f>P11-O11</f>
        <v>-102262.47014048323</v>
      </c>
      <c r="R11" s="97">
        <f>+Q11/G11</f>
        <v>-0.002519538486185349</v>
      </c>
      <c r="S11" s="46">
        <f>+H11+L11+P11</f>
        <v>41805411.91262801</v>
      </c>
      <c r="T11" s="22">
        <f>S11-G11</f>
        <v>1217633.3566784859</v>
      </c>
      <c r="U11" s="57">
        <f>T11/G11</f>
        <v>0.030000000000000002</v>
      </c>
      <c r="W11" s="128"/>
    </row>
    <row r="12" spans="1:23" ht="12.75">
      <c r="A12">
        <f t="shared" si="0"/>
        <v>10</v>
      </c>
      <c r="B12" s="38" t="s">
        <v>10</v>
      </c>
      <c r="C12" s="17">
        <f aca="true" t="shared" si="1" ref="C12:H12">SUM(C9:C11)</f>
        <v>3062.866593</v>
      </c>
      <c r="D12" s="87">
        <f t="shared" si="1"/>
        <v>345233822.9485234</v>
      </c>
      <c r="E12" s="87">
        <f t="shared" si="1"/>
        <v>11421520.373758845</v>
      </c>
      <c r="F12" s="87">
        <f t="shared" si="1"/>
        <v>11426358.90449144</v>
      </c>
      <c r="G12" s="18">
        <f t="shared" si="1"/>
        <v>368081702.2267737</v>
      </c>
      <c r="H12" s="44">
        <f t="shared" si="1"/>
        <v>369479722.2909317</v>
      </c>
      <c r="I12" s="87">
        <f>I9+I10+I11</f>
        <v>24245899.34240827</v>
      </c>
      <c r="J12" s="48">
        <f>I12/G12</f>
        <v>0.06587097156888953</v>
      </c>
      <c r="K12" s="44">
        <f>SUM(K9:K11)</f>
        <v>11421520.373758845</v>
      </c>
      <c r="L12" s="18">
        <f>SUM(L9:L11)</f>
        <v>0</v>
      </c>
      <c r="M12" s="18">
        <f>L12-K12</f>
        <v>-11421520.373758845</v>
      </c>
      <c r="N12" s="93">
        <f>+M12/G12</f>
        <v>-0.031029850994120027</v>
      </c>
      <c r="O12" s="44">
        <f>F12</f>
        <v>11426358.90449144</v>
      </c>
      <c r="P12" s="18">
        <f>SUM(P9:P11)</f>
        <v>9644431.002645198</v>
      </c>
      <c r="Q12" s="18">
        <f>P12-O12</f>
        <v>-1781927.9018462412</v>
      </c>
      <c r="R12" s="93">
        <f>+Q12/G12</f>
        <v>-0.004841120574769572</v>
      </c>
      <c r="S12" s="44">
        <f>SUM(S9:S11)</f>
        <v>379124153.2935769</v>
      </c>
      <c r="T12" s="18">
        <f>S12-G12</f>
        <v>11042451.066803217</v>
      </c>
      <c r="U12" s="48">
        <f>T12/G12</f>
        <v>0.030000000000000016</v>
      </c>
      <c r="W12" s="128"/>
    </row>
    <row r="13" spans="1:21" ht="12.75">
      <c r="A13">
        <f t="shared" si="0"/>
        <v>11</v>
      </c>
      <c r="B13" s="39"/>
      <c r="C13" s="19"/>
      <c r="D13" s="88"/>
      <c r="E13" s="88"/>
      <c r="F13" s="88"/>
      <c r="G13" s="20"/>
      <c r="H13" s="45"/>
      <c r="I13" s="88"/>
      <c r="J13" s="63"/>
      <c r="K13" s="45"/>
      <c r="L13" s="20"/>
      <c r="M13" s="20"/>
      <c r="N13" s="92"/>
      <c r="O13" s="45"/>
      <c r="P13" s="20"/>
      <c r="Q13" s="20"/>
      <c r="R13" s="92"/>
      <c r="S13" s="45"/>
      <c r="T13" s="20"/>
      <c r="U13" s="63"/>
    </row>
    <row r="14" spans="1:23" ht="12.75">
      <c r="A14">
        <f t="shared" si="0"/>
        <v>12</v>
      </c>
      <c r="B14" s="39" t="s">
        <v>2</v>
      </c>
      <c r="C14" s="19">
        <v>258.161462</v>
      </c>
      <c r="D14" s="88">
        <f>database!E14</f>
        <v>28459581.73596959</v>
      </c>
      <c r="E14" s="88">
        <f>database!B14</f>
        <v>834756.6549771931</v>
      </c>
      <c r="F14" s="88">
        <f>database!C14</f>
        <v>876178.2414095479</v>
      </c>
      <c r="G14" s="20">
        <f>D14+E14+F14</f>
        <v>30170516.63235633</v>
      </c>
      <c r="H14" s="45">
        <f>D14+I14</f>
        <v>30248065.45514243</v>
      </c>
      <c r="I14" s="88">
        <f>G14*J14</f>
        <v>1788483.7191728444</v>
      </c>
      <c r="J14" s="63">
        <v>0.059279187723778895</v>
      </c>
      <c r="K14" s="45">
        <f>E14</f>
        <v>834756.6549771931</v>
      </c>
      <c r="L14" s="20">
        <v>0</v>
      </c>
      <c r="M14" s="20">
        <f aca="true" t="shared" si="2" ref="M14:M20">L14-K14</f>
        <v>-834756.6549771931</v>
      </c>
      <c r="N14" s="61">
        <f>+M14/G14</f>
        <v>-0.02766796025235973</v>
      </c>
      <c r="O14" s="45">
        <f>F14</f>
        <v>876178.2414095479</v>
      </c>
      <c r="P14" s="20">
        <f>database!G14</f>
        <v>827566.6761845871</v>
      </c>
      <c r="Q14" s="20">
        <f>P14-O14</f>
        <v>-48611.565224960796</v>
      </c>
      <c r="R14" s="61">
        <f>+Q14/G14</f>
        <v>-0.0016112274714191466</v>
      </c>
      <c r="S14" s="45">
        <f aca="true" t="shared" si="3" ref="S14:S19">+H14+L14+P14</f>
        <v>31075632.13132702</v>
      </c>
      <c r="T14" s="20">
        <f aca="true" t="shared" si="4" ref="T14:T20">S14-G14</f>
        <v>905115.4989706874</v>
      </c>
      <c r="U14" s="63">
        <f>T14/G14</f>
        <v>0.029999999999999916</v>
      </c>
      <c r="W14" s="128"/>
    </row>
    <row r="15" spans="1:23" ht="12.75">
      <c r="A15">
        <f t="shared" si="0"/>
        <v>13</v>
      </c>
      <c r="B15" s="39" t="s">
        <v>3</v>
      </c>
      <c r="C15" s="19">
        <v>498.772236</v>
      </c>
      <c r="D15" s="88">
        <f>database!E15</f>
        <v>47959530.119432814</v>
      </c>
      <c r="E15" s="88">
        <f>database!B15</f>
        <v>1569891.0792160828</v>
      </c>
      <c r="F15" s="88">
        <f>database!C15</f>
        <v>1659488.167918161</v>
      </c>
      <c r="G15" s="20">
        <f>D15+E15+F15</f>
        <v>51188909.36656706</v>
      </c>
      <c r="H15" s="45">
        <f>D15+I15</f>
        <v>51159930.31589112</v>
      </c>
      <c r="I15" s="88">
        <f>G15*J15</f>
        <v>3200400.1964583048</v>
      </c>
      <c r="J15" s="63">
        <v>0.0625213593346956</v>
      </c>
      <c r="K15" s="45">
        <f>E15</f>
        <v>1569891.0792160828</v>
      </c>
      <c r="L15" s="20">
        <v>0</v>
      </c>
      <c r="M15" s="20">
        <f t="shared" si="2"/>
        <v>-1569891.0792160828</v>
      </c>
      <c r="N15" s="61">
        <f>+M15/G15</f>
        <v>-0.03066857838235998</v>
      </c>
      <c r="O15" s="45">
        <f>F15</f>
        <v>1659488.167918161</v>
      </c>
      <c r="P15" s="20">
        <f>database!G15</f>
        <v>1564646.3316729537</v>
      </c>
      <c r="Q15" s="20">
        <f>P15-O15</f>
        <v>-94841.83624520735</v>
      </c>
      <c r="R15" s="61">
        <f>+Q15/G15</f>
        <v>-0.001852780952335571</v>
      </c>
      <c r="S15" s="45">
        <f t="shared" si="3"/>
        <v>52724576.64756407</v>
      </c>
      <c r="T15" s="20">
        <f t="shared" si="4"/>
        <v>1535667.280997008</v>
      </c>
      <c r="U15" s="63">
        <f>T15/G15</f>
        <v>0.029999999999999926</v>
      </c>
      <c r="W15" s="128"/>
    </row>
    <row r="16" spans="1:23" s="104" customFormat="1" ht="12.75">
      <c r="A16">
        <f t="shared" si="0"/>
        <v>14</v>
      </c>
      <c r="B16" s="105" t="s">
        <v>70</v>
      </c>
      <c r="C16" s="106">
        <v>224.839215</v>
      </c>
      <c r="D16" s="107">
        <f>database!E16</f>
        <v>18598529.043499067</v>
      </c>
      <c r="E16" s="107">
        <f>database!B16</f>
        <v>721582.606791599</v>
      </c>
      <c r="F16" s="107">
        <f>database!C16</f>
        <v>796880.0733422372</v>
      </c>
      <c r="G16" s="108">
        <f>D16+E16+F16</f>
        <v>20116991.723632906</v>
      </c>
      <c r="H16" s="45">
        <v>19860990.9042291</v>
      </c>
      <c r="I16" s="107">
        <f>G16*J16</f>
        <v>1376131.0185854887</v>
      </c>
      <c r="J16" s="110">
        <v>0.06840640178664718</v>
      </c>
      <c r="K16" s="109">
        <f>E16</f>
        <v>721582.606791599</v>
      </c>
      <c r="L16" s="108">
        <v>0</v>
      </c>
      <c r="M16" s="108">
        <f t="shared" si="2"/>
        <v>-721582.606791599</v>
      </c>
      <c r="N16" s="111">
        <f>+M16/G16</f>
        <v>-0.0358693097210903</v>
      </c>
      <c r="O16" s="109">
        <f>F16</f>
        <v>796880.0733422372</v>
      </c>
      <c r="P16" s="108">
        <f>database!G16</f>
        <v>747144.0117227418</v>
      </c>
      <c r="Q16" s="108">
        <f>P16-O16</f>
        <v>-49736.06161949539</v>
      </c>
      <c r="R16" s="111">
        <f>+Q16/G16</f>
        <v>-0.0024723409097527635</v>
      </c>
      <c r="S16" s="109">
        <f t="shared" si="3"/>
        <v>20608134.915951844</v>
      </c>
      <c r="T16" s="108">
        <f t="shared" si="4"/>
        <v>491143.1923189387</v>
      </c>
      <c r="U16" s="110">
        <f>T16/G16</f>
        <v>0.0244143457961439</v>
      </c>
      <c r="W16" s="128"/>
    </row>
    <row r="17" spans="1:29" s="104" customFormat="1" ht="12.75">
      <c r="A17">
        <f t="shared" si="0"/>
        <v>15</v>
      </c>
      <c r="B17" s="105" t="s">
        <v>71</v>
      </c>
      <c r="C17" s="113">
        <v>696.586409</v>
      </c>
      <c r="D17" s="114">
        <f>database!E17</f>
        <v>55222022.54854539</v>
      </c>
      <c r="E17" s="114">
        <f>database!B17</f>
        <v>2153715.374189236</v>
      </c>
      <c r="F17" s="114">
        <f>database!C17</f>
        <v>2378456.53316571</v>
      </c>
      <c r="G17" s="115">
        <f>D17+E17+F17</f>
        <v>59754194.455900334</v>
      </c>
      <c r="H17" s="144">
        <v>59344265.238875635</v>
      </c>
      <c r="I17" s="114">
        <f>G17*J17</f>
        <v>4009876.1309401784</v>
      </c>
      <c r="J17" s="117">
        <v>0.06710618672802189</v>
      </c>
      <c r="K17" s="116">
        <f>E17</f>
        <v>2153715.374189236</v>
      </c>
      <c r="L17" s="115">
        <v>0</v>
      </c>
      <c r="M17" s="115">
        <f t="shared" si="2"/>
        <v>-2153715.374189236</v>
      </c>
      <c r="N17" s="118">
        <f>+M17/G17</f>
        <v>-0.036042915376906584</v>
      </c>
      <c r="O17" s="116">
        <f>F17</f>
        <v>2378456.53316571</v>
      </c>
      <c r="P17" s="115">
        <f>database!G17</f>
        <v>2314921.610091774</v>
      </c>
      <c r="Q17" s="115">
        <f>P17-O17</f>
        <v>-63534.923073936254</v>
      </c>
      <c r="R17" s="118">
        <f>+Q17/G17</f>
        <v>-0.0010632713511153794</v>
      </c>
      <c r="S17" s="116">
        <f t="shared" si="3"/>
        <v>61659186.84896741</v>
      </c>
      <c r="T17" s="115">
        <f t="shared" si="4"/>
        <v>1904992.3930670768</v>
      </c>
      <c r="U17" s="57">
        <f>T17/G17</f>
        <v>0.031880479862765036</v>
      </c>
      <c r="V17" s="119"/>
      <c r="W17" s="128"/>
      <c r="X17" s="119"/>
      <c r="Y17" s="119"/>
      <c r="Z17" s="119"/>
      <c r="AA17" s="119"/>
      <c r="AB17" s="119"/>
      <c r="AC17" s="119"/>
    </row>
    <row r="18" spans="1:23" ht="12.75">
      <c r="A18">
        <f t="shared" si="0"/>
        <v>16</v>
      </c>
      <c r="B18" s="39" t="s">
        <v>72</v>
      </c>
      <c r="C18" s="19">
        <f>C16+C17</f>
        <v>921.425624</v>
      </c>
      <c r="D18" s="88">
        <f>SUM(D16:D17)</f>
        <v>73820551.59204446</v>
      </c>
      <c r="E18" s="88">
        <f>SUM(E16:E17)</f>
        <v>2875297.980980835</v>
      </c>
      <c r="F18" s="88">
        <f>SUM(F16:F17)</f>
        <v>3175336.606507947</v>
      </c>
      <c r="G18" s="20">
        <f>G16+G17</f>
        <v>79871186.17953324</v>
      </c>
      <c r="H18" s="45">
        <f>D18+I18</f>
        <v>79205256.14310472</v>
      </c>
      <c r="I18" s="88">
        <f>G18*J18</f>
        <v>5384704.551060257</v>
      </c>
      <c r="J18" s="63">
        <v>0.06741736048537703</v>
      </c>
      <c r="K18" s="45">
        <f>K16+K17</f>
        <v>2875297.980980835</v>
      </c>
      <c r="L18" s="20">
        <f>L16+L17</f>
        <v>0</v>
      </c>
      <c r="M18" s="20">
        <f t="shared" si="2"/>
        <v>-2875297.980980835</v>
      </c>
      <c r="N18" s="61">
        <f>+M18/G18</f>
        <v>-0.035999189676709994</v>
      </c>
      <c r="O18" s="45">
        <f>O16+O17</f>
        <v>3175336.606507947</v>
      </c>
      <c r="P18" s="20">
        <f>SUM(P16:P17)</f>
        <v>3062065.6218145154</v>
      </c>
      <c r="Q18" s="20">
        <f>SUM(Q16:Q17)</f>
        <v>-113270.98469343164</v>
      </c>
      <c r="R18" s="61">
        <f>+Q18/G18</f>
        <v>-0.0014181708086671312</v>
      </c>
      <c r="S18" s="45">
        <f t="shared" si="3"/>
        <v>82267321.76491924</v>
      </c>
      <c r="T18" s="20">
        <f t="shared" si="4"/>
        <v>2396135.585385993</v>
      </c>
      <c r="U18" s="63">
        <f>T18/G18</f>
        <v>0.029999999999999947</v>
      </c>
      <c r="W18" s="128"/>
    </row>
    <row r="19" spans="1:23" ht="12.75">
      <c r="A19">
        <f t="shared" si="0"/>
        <v>17</v>
      </c>
      <c r="B19" s="55" t="s">
        <v>65</v>
      </c>
      <c r="C19" s="21">
        <v>0</v>
      </c>
      <c r="D19" s="89">
        <f>database!E19</f>
        <v>0</v>
      </c>
      <c r="E19" s="89">
        <v>0</v>
      </c>
      <c r="F19" s="89">
        <v>0</v>
      </c>
      <c r="G19" s="22">
        <f>D19+E19+F19</f>
        <v>0</v>
      </c>
      <c r="H19" s="46">
        <f>database!F19</f>
        <v>0</v>
      </c>
      <c r="I19" s="89">
        <f>+H19-D19</f>
        <v>0</v>
      </c>
      <c r="J19" s="129" t="s">
        <v>50</v>
      </c>
      <c r="K19" s="46">
        <f>E19</f>
        <v>0</v>
      </c>
      <c r="L19" s="22">
        <v>0</v>
      </c>
      <c r="M19" s="22">
        <f t="shared" si="2"/>
        <v>0</v>
      </c>
      <c r="N19" s="129" t="s">
        <v>50</v>
      </c>
      <c r="O19" s="46">
        <f>F19</f>
        <v>0</v>
      </c>
      <c r="P19" s="22">
        <f>database!G19</f>
        <v>0</v>
      </c>
      <c r="Q19" s="22">
        <f>P19-O19</f>
        <v>0</v>
      </c>
      <c r="R19" s="129" t="s">
        <v>50</v>
      </c>
      <c r="S19" s="46">
        <f t="shared" si="3"/>
        <v>0</v>
      </c>
      <c r="T19" s="22">
        <f t="shared" si="4"/>
        <v>0</v>
      </c>
      <c r="U19" s="129" t="s">
        <v>50</v>
      </c>
      <c r="W19" s="128"/>
    </row>
    <row r="20" spans="1:23" ht="12.75">
      <c r="A20">
        <f t="shared" si="0"/>
        <v>18</v>
      </c>
      <c r="B20" s="38" t="s">
        <v>11</v>
      </c>
      <c r="C20" s="17">
        <f aca="true" t="shared" si="5" ref="C20:H20">C14+C15+C18+C19</f>
        <v>1678.359322</v>
      </c>
      <c r="D20" s="87">
        <f t="shared" si="5"/>
        <v>150239663.44744688</v>
      </c>
      <c r="E20" s="87">
        <f t="shared" si="5"/>
        <v>5279945.715174111</v>
      </c>
      <c r="F20" s="87">
        <f t="shared" si="5"/>
        <v>5711003.015835656</v>
      </c>
      <c r="G20" s="18">
        <f t="shared" si="5"/>
        <v>161230612.17845663</v>
      </c>
      <c r="H20" s="44">
        <f t="shared" si="5"/>
        <v>160613251.91413826</v>
      </c>
      <c r="I20" s="87">
        <f>I14+I15+I18+I19</f>
        <v>10373588.466691405</v>
      </c>
      <c r="J20" s="48">
        <f>I20/G20</f>
        <v>0.0643400674755827</v>
      </c>
      <c r="K20" s="44">
        <f>K14+K15+K18+K19</f>
        <v>5279945.715174111</v>
      </c>
      <c r="L20" s="18">
        <f>L14+L15+L18+L19</f>
        <v>0</v>
      </c>
      <c r="M20" s="18">
        <f t="shared" si="2"/>
        <v>-5279945.715174111</v>
      </c>
      <c r="N20" s="93">
        <f>+M20/G20</f>
        <v>-0.03274778681191169</v>
      </c>
      <c r="O20" s="44">
        <f>O14+O15+O18+O19</f>
        <v>5711003.015835656</v>
      </c>
      <c r="P20" s="18">
        <f>P14+P15+P18+P19</f>
        <v>5454278.629672056</v>
      </c>
      <c r="Q20" s="18">
        <f>P20-O20</f>
        <v>-256724.3861635998</v>
      </c>
      <c r="R20" s="93">
        <f>+Q20/G20</f>
        <v>-0.0015922806636710326</v>
      </c>
      <c r="S20" s="44">
        <f>S14+S15+S18+S19</f>
        <v>166067530.5438103</v>
      </c>
      <c r="T20" s="18">
        <f t="shared" si="4"/>
        <v>4836918.365353674</v>
      </c>
      <c r="U20" s="48">
        <f>T20/G20</f>
        <v>0.029999999999999843</v>
      </c>
      <c r="W20" s="128"/>
    </row>
    <row r="21" spans="1:21" ht="12.75">
      <c r="A21">
        <f t="shared" si="0"/>
        <v>19</v>
      </c>
      <c r="B21" s="39"/>
      <c r="C21" s="19"/>
      <c r="D21" s="88"/>
      <c r="E21" s="88"/>
      <c r="F21" s="88"/>
      <c r="G21" s="20"/>
      <c r="H21" s="45"/>
      <c r="I21" s="88"/>
      <c r="J21" s="63"/>
      <c r="K21" s="45"/>
      <c r="L21" s="20"/>
      <c r="M21" s="20"/>
      <c r="N21" s="92"/>
      <c r="O21" s="45"/>
      <c r="P21" s="20"/>
      <c r="Q21" s="20"/>
      <c r="R21" s="92"/>
      <c r="S21" s="45"/>
      <c r="T21" s="20"/>
      <c r="U21" s="63"/>
    </row>
    <row r="22" spans="1:23" ht="12.75">
      <c r="A22">
        <f t="shared" si="0"/>
        <v>20</v>
      </c>
      <c r="B22" s="39" t="s">
        <v>4</v>
      </c>
      <c r="C22" s="19">
        <v>192.648476</v>
      </c>
      <c r="D22" s="88">
        <f>database!E22</f>
        <v>18286843.02137324</v>
      </c>
      <c r="E22" s="88">
        <f>database!B22</f>
        <v>665962.5200624219</v>
      </c>
      <c r="F22" s="88">
        <f>database!C22</f>
        <v>716471.6016251052</v>
      </c>
      <c r="G22" s="20">
        <f>D22+E22+F22</f>
        <v>19669277.143060762</v>
      </c>
      <c r="H22" s="45">
        <f>D22+I22</f>
        <v>19740844.497768372</v>
      </c>
      <c r="I22" s="88">
        <f>G22*J22</f>
        <v>1454001.476395135</v>
      </c>
      <c r="J22" s="63">
        <v>0.07392246628179219</v>
      </c>
      <c r="K22" s="45">
        <f>E22</f>
        <v>665962.5200624219</v>
      </c>
      <c r="L22" s="20">
        <v>0</v>
      </c>
      <c r="M22" s="20">
        <f>L22-K22</f>
        <v>-665962.5200624219</v>
      </c>
      <c r="N22" s="61">
        <f>+M22/G22</f>
        <v>-0.033858006840753206</v>
      </c>
      <c r="O22" s="45">
        <f>F22</f>
        <v>716471.6016251052</v>
      </c>
      <c r="P22" s="20">
        <f>database!G22</f>
        <v>525575.388646511</v>
      </c>
      <c r="Q22" s="20">
        <f>P22-O22</f>
        <v>-190896.21297859424</v>
      </c>
      <c r="R22" s="61">
        <f>+Q22/G22</f>
        <v>-0.009705298857204909</v>
      </c>
      <c r="S22" s="45">
        <f>+H22+L22+P22</f>
        <v>20266419.88641488</v>
      </c>
      <c r="T22" s="20">
        <f>S22-G22</f>
        <v>597142.7433541194</v>
      </c>
      <c r="U22" s="63">
        <f>T22/G22</f>
        <v>0.030359160583834102</v>
      </c>
      <c r="W22" s="128"/>
    </row>
    <row r="23" spans="1:23" ht="12.75">
      <c r="A23">
        <f t="shared" si="0"/>
        <v>21</v>
      </c>
      <c r="B23" s="55" t="s">
        <v>5</v>
      </c>
      <c r="C23" s="21">
        <v>104.393439</v>
      </c>
      <c r="D23" s="89">
        <f>database!E23</f>
        <v>22338108.07722</v>
      </c>
      <c r="E23" s="89">
        <f>database!B23</f>
        <v>365351.43850175396</v>
      </c>
      <c r="F23" s="89">
        <f>database!C23</f>
        <v>422941.0808745685</v>
      </c>
      <c r="G23" s="22">
        <f>D23+E23+F23</f>
        <v>23126400.596596323</v>
      </c>
      <c r="H23" s="144">
        <f>D23+I23</f>
        <v>23416622.163580783</v>
      </c>
      <c r="I23" s="89">
        <f>G23*J23</f>
        <v>1078514.0863607824</v>
      </c>
      <c r="J23" s="57">
        <v>0.046635622428832055</v>
      </c>
      <c r="K23" s="46">
        <f>E23</f>
        <v>365351.43850175396</v>
      </c>
      <c r="L23" s="22">
        <v>0</v>
      </c>
      <c r="M23" s="22">
        <f>L23-K23</f>
        <v>-365351.43850175396</v>
      </c>
      <c r="N23" s="97">
        <f>+M23/G23</f>
        <v>-0.01579802429590039</v>
      </c>
      <c r="O23" s="46">
        <f>F23</f>
        <v>422941.0808745685</v>
      </c>
      <c r="P23" s="22">
        <f>database!G23</f>
        <v>403570.4509134289</v>
      </c>
      <c r="Q23" s="22">
        <f>P23-O23</f>
        <v>-19370.62996113958</v>
      </c>
      <c r="R23" s="97">
        <f>+Q23/G23</f>
        <v>-0.0008375981329316977</v>
      </c>
      <c r="S23" s="46">
        <f>+H23+L23+P23</f>
        <v>23820192.614494212</v>
      </c>
      <c r="T23" s="22">
        <f>S23-G23</f>
        <v>693792.017897889</v>
      </c>
      <c r="U23" s="57">
        <f>T23/G23</f>
        <v>0.02999999999999997</v>
      </c>
      <c r="W23" s="128"/>
    </row>
    <row r="24" spans="1:23" ht="12.75">
      <c r="A24">
        <f t="shared" si="0"/>
        <v>22</v>
      </c>
      <c r="B24" s="38" t="s">
        <v>23</v>
      </c>
      <c r="C24" s="17">
        <f>SUM(C22:C23)</f>
        <v>297.041915</v>
      </c>
      <c r="D24" s="87">
        <f>SUM(D22:D23)</f>
        <v>40624951.098593235</v>
      </c>
      <c r="E24" s="87">
        <f>SUM(E22:E23)</f>
        <v>1031313.9585641759</v>
      </c>
      <c r="F24" s="87">
        <f>SUM(F22:F23)</f>
        <v>1139412.6824996737</v>
      </c>
      <c r="G24" s="18">
        <f>G22+G23</f>
        <v>42795677.73965709</v>
      </c>
      <c r="H24" s="44">
        <f>SUM(H22:H23)</f>
        <v>43157466.661349155</v>
      </c>
      <c r="I24" s="87">
        <f>I22+I23</f>
        <v>2532515.562755917</v>
      </c>
      <c r="J24" s="48">
        <f>I24/G24</f>
        <v>0.05917690048425459</v>
      </c>
      <c r="K24" s="44">
        <f>SUM(K22:K23)</f>
        <v>1031313.9585641759</v>
      </c>
      <c r="L24" s="18">
        <f>L22+L23</f>
        <v>0</v>
      </c>
      <c r="M24" s="18">
        <f>L24-K24</f>
        <v>-1031313.9585641759</v>
      </c>
      <c r="N24" s="93">
        <f>+M24/G24</f>
        <v>-0.02409855417731818</v>
      </c>
      <c r="O24" s="44">
        <f>SUM(O22:O23)</f>
        <v>1139412.6824996737</v>
      </c>
      <c r="P24" s="18">
        <f>SUM(P22:P23)</f>
        <v>929145.8395599399</v>
      </c>
      <c r="Q24" s="18">
        <f>P24-O24</f>
        <v>-210266.84293973376</v>
      </c>
      <c r="R24" s="93">
        <f>+Q24/G24</f>
        <v>-0.004913272882810024</v>
      </c>
      <c r="S24" s="44">
        <f>S22+S23</f>
        <v>44086612.50090909</v>
      </c>
      <c r="T24" s="18">
        <f>S24-G24</f>
        <v>1290934.761252001</v>
      </c>
      <c r="U24" s="48">
        <f>T24/G24</f>
        <v>0.030165073424126238</v>
      </c>
      <c r="W24" s="128"/>
    </row>
    <row r="25" spans="1:21" ht="12.75">
      <c r="A25">
        <f t="shared" si="0"/>
        <v>23</v>
      </c>
      <c r="B25" s="39"/>
      <c r="C25" s="19"/>
      <c r="D25" s="88"/>
      <c r="E25" s="88"/>
      <c r="F25" s="88"/>
      <c r="G25" s="20"/>
      <c r="H25" s="45"/>
      <c r="I25" s="88"/>
      <c r="J25" s="63"/>
      <c r="K25" s="45"/>
      <c r="L25" s="20"/>
      <c r="M25" s="20"/>
      <c r="N25" s="92"/>
      <c r="O25" s="45"/>
      <c r="P25" s="20"/>
      <c r="Q25" s="20"/>
      <c r="R25" s="92"/>
      <c r="S25" s="45"/>
      <c r="T25" s="20"/>
      <c r="U25" s="63"/>
    </row>
    <row r="26" spans="1:23" ht="12.75">
      <c r="A26">
        <f t="shared" si="0"/>
        <v>24</v>
      </c>
      <c r="B26" s="56" t="s">
        <v>25</v>
      </c>
      <c r="C26" s="17">
        <f aca="true" t="shared" si="6" ref="C26:H26">C7+C12+C20+C24</f>
        <v>9311.476658</v>
      </c>
      <c r="D26" s="87">
        <f t="shared" si="6"/>
        <v>1124815520.6974525</v>
      </c>
      <c r="E26" s="87">
        <f t="shared" si="6"/>
        <v>33462635.443855725</v>
      </c>
      <c r="F26" s="87">
        <f t="shared" si="6"/>
        <v>32217366.70709234</v>
      </c>
      <c r="G26" s="18">
        <f t="shared" si="6"/>
        <v>1190495522.8484006</v>
      </c>
      <c r="H26" s="44">
        <f t="shared" si="6"/>
        <v>1198661422.2901344</v>
      </c>
      <c r="I26" s="87">
        <f>I7+I12+I20+I24</f>
        <v>73845901.59268212</v>
      </c>
      <c r="J26" s="48">
        <f>I26/G26</f>
        <v>0.062029550028039684</v>
      </c>
      <c r="K26" s="44">
        <f>K7+K12+K20+K24</f>
        <v>33462635.443855725</v>
      </c>
      <c r="L26" s="18">
        <f>L7+L12+L20+L24</f>
        <v>0</v>
      </c>
      <c r="M26" s="18">
        <f>L26-K26</f>
        <v>-33462635.443855725</v>
      </c>
      <c r="N26" s="93">
        <f>+M26/G26</f>
        <v>-0.028108157319056887</v>
      </c>
      <c r="O26" s="44">
        <f>F26</f>
        <v>32217366.70709234</v>
      </c>
      <c r="P26" s="18">
        <f>P7+P12+P20+P24</f>
        <v>27556030.672780212</v>
      </c>
      <c r="Q26" s="18">
        <f>P26-O26</f>
        <v>-4661336.034312129</v>
      </c>
      <c r="R26" s="93">
        <f>+Q26/G26</f>
        <v>-0.003915458684934265</v>
      </c>
      <c r="S26" s="44">
        <f>S7+S12+S20+S24</f>
        <v>1226217452.962915</v>
      </c>
      <c r="T26" s="18">
        <f>S26-G26</f>
        <v>35721930.11451435</v>
      </c>
      <c r="U26" s="48">
        <f>T26/G26</f>
        <v>0.0300059340240486</v>
      </c>
      <c r="W26" s="128"/>
    </row>
    <row r="27" spans="1:21" ht="12.75">
      <c r="A27">
        <f t="shared" si="0"/>
        <v>25</v>
      </c>
      <c r="B27" s="39"/>
      <c r="C27" s="19"/>
      <c r="D27" s="88"/>
      <c r="E27" s="88"/>
      <c r="F27" s="88"/>
      <c r="G27" s="20"/>
      <c r="H27" s="45"/>
      <c r="I27" s="88"/>
      <c r="J27" s="63"/>
      <c r="K27" s="45"/>
      <c r="L27" s="20"/>
      <c r="M27" s="20"/>
      <c r="N27" s="92"/>
      <c r="O27" s="45"/>
      <c r="P27" s="20"/>
      <c r="Q27" s="20"/>
      <c r="R27" s="92"/>
      <c r="S27" s="45"/>
      <c r="T27" s="20"/>
      <c r="U27" s="63"/>
    </row>
    <row r="28" spans="1:21" ht="12.75">
      <c r="A28">
        <f t="shared" si="0"/>
        <v>26</v>
      </c>
      <c r="B28" s="38" t="s">
        <v>48</v>
      </c>
      <c r="C28" s="19"/>
      <c r="D28" s="88"/>
      <c r="E28" s="88"/>
      <c r="F28" s="88"/>
      <c r="G28" s="20"/>
      <c r="H28" s="45"/>
      <c r="I28" s="88"/>
      <c r="J28" s="63"/>
      <c r="K28" s="45"/>
      <c r="L28" s="20"/>
      <c r="M28" s="20"/>
      <c r="N28" s="93"/>
      <c r="O28" s="45"/>
      <c r="P28" s="20"/>
      <c r="Q28" s="20"/>
      <c r="R28" s="93"/>
      <c r="S28" s="45"/>
      <c r="T28" s="20"/>
      <c r="U28" s="63"/>
    </row>
    <row r="29" spans="1:23" ht="12.75">
      <c r="A29">
        <f t="shared" si="0"/>
        <v>27</v>
      </c>
      <c r="B29" s="39" t="s">
        <v>6</v>
      </c>
      <c r="C29" s="19">
        <v>18.814683</v>
      </c>
      <c r="D29" s="88">
        <f>database!E29</f>
        <v>1094660</v>
      </c>
      <c r="E29" s="88">
        <f>database!B29</f>
        <v>0</v>
      </c>
      <c r="F29" s="88">
        <f>database!C29</f>
        <v>0</v>
      </c>
      <c r="G29" s="20">
        <f>D29+E29+F29</f>
        <v>1094660</v>
      </c>
      <c r="H29" s="45">
        <f>database!F29</f>
        <v>1094660</v>
      </c>
      <c r="I29" s="88">
        <f>+H29-D29</f>
        <v>0</v>
      </c>
      <c r="J29" s="63">
        <v>0</v>
      </c>
      <c r="K29" s="45">
        <f>E29</f>
        <v>0</v>
      </c>
      <c r="L29" s="20">
        <v>0</v>
      </c>
      <c r="M29" s="20">
        <f>L29-K29</f>
        <v>0</v>
      </c>
      <c r="N29" s="61">
        <f>+M29/G29</f>
        <v>0</v>
      </c>
      <c r="O29" s="45">
        <f>F29</f>
        <v>0</v>
      </c>
      <c r="P29" s="20">
        <f>database!G29</f>
        <v>0</v>
      </c>
      <c r="Q29" s="20">
        <f>P29-O29</f>
        <v>0</v>
      </c>
      <c r="R29" s="61">
        <f>+Q29/G29</f>
        <v>0</v>
      </c>
      <c r="S29" s="45">
        <f>+H29+L29+P29</f>
        <v>1094660</v>
      </c>
      <c r="T29" s="20">
        <f>S29-G29</f>
        <v>0</v>
      </c>
      <c r="U29" s="63">
        <f>T29/G29</f>
        <v>0</v>
      </c>
      <c r="W29" s="96"/>
    </row>
    <row r="30" spans="1:23" ht="12.75">
      <c r="A30">
        <f t="shared" si="0"/>
        <v>28</v>
      </c>
      <c r="B30" s="40" t="s">
        <v>12</v>
      </c>
      <c r="C30" s="19">
        <v>178.92</v>
      </c>
      <c r="D30" s="88">
        <f>database!E31</f>
        <v>10282532</v>
      </c>
      <c r="E30" s="88">
        <f>+database!B31</f>
        <v>0</v>
      </c>
      <c r="F30" s="88">
        <f>+database!C31</f>
        <v>419450.54009040515</v>
      </c>
      <c r="G30" s="20">
        <f>D30+E30+F30</f>
        <v>10701982.540090404</v>
      </c>
      <c r="H30" s="45">
        <f>database!F31</f>
        <v>10282532</v>
      </c>
      <c r="I30" s="88">
        <f>+H30-D30</f>
        <v>0</v>
      </c>
      <c r="J30" s="66">
        <v>0</v>
      </c>
      <c r="K30" s="45">
        <f>E30</f>
        <v>0</v>
      </c>
      <c r="L30" s="20">
        <v>0</v>
      </c>
      <c r="M30" s="20">
        <f>L30-K30</f>
        <v>0</v>
      </c>
      <c r="N30" s="61">
        <f>+M30/G30</f>
        <v>0</v>
      </c>
      <c r="O30" s="45">
        <f>F30</f>
        <v>419450.54009040515</v>
      </c>
      <c r="P30" s="20">
        <f>database!G31</f>
        <v>290428.52609767375</v>
      </c>
      <c r="Q30" s="20">
        <f>P30-O30</f>
        <v>-129022.0139927314</v>
      </c>
      <c r="R30" s="61">
        <f>+Q30/G30</f>
        <v>-0.012055898382323607</v>
      </c>
      <c r="S30" s="45">
        <f>+H30+L30+P30</f>
        <v>10572960.526097674</v>
      </c>
      <c r="T30" s="20">
        <f>S30-G30</f>
        <v>-129022.01399273053</v>
      </c>
      <c r="U30" s="63">
        <f>T30/G30</f>
        <v>-0.012055898382323526</v>
      </c>
      <c r="W30" s="96"/>
    </row>
    <row r="31" spans="2:23" ht="12.75">
      <c r="B31" s="40" t="s">
        <v>78</v>
      </c>
      <c r="C31" s="19">
        <v>322.080003</v>
      </c>
      <c r="D31" s="88">
        <f>database!E33</f>
        <v>21183202</v>
      </c>
      <c r="E31" s="88">
        <f>database!B19*0.7297</f>
        <v>879406.3053934622</v>
      </c>
      <c r="F31" s="88">
        <f>database!C19*0.7297</f>
        <v>1219578.0293619048</v>
      </c>
      <c r="G31" s="20">
        <f>D31+E31+F31</f>
        <v>23282186.334755365</v>
      </c>
      <c r="H31" s="45">
        <f>database!F33</f>
        <v>21183202</v>
      </c>
      <c r="I31" s="88">
        <f>+H31-D31</f>
        <v>0</v>
      </c>
      <c r="J31" s="66">
        <v>0</v>
      </c>
      <c r="K31" s="45">
        <f>E31</f>
        <v>879406.3053934622</v>
      </c>
      <c r="L31" s="20">
        <v>0</v>
      </c>
      <c r="M31" s="20">
        <f>L31-K31</f>
        <v>-879406.3053934622</v>
      </c>
      <c r="N31" s="61">
        <f>+M31/G31</f>
        <v>-0.03777163762669038</v>
      </c>
      <c r="O31" s="45">
        <f>F31</f>
        <v>1219578.0293619048</v>
      </c>
      <c r="P31" s="20">
        <f>database!G33</f>
        <v>1330573.3497849514</v>
      </c>
      <c r="Q31" s="20">
        <f>P31-O31</f>
        <v>110995.32042304659</v>
      </c>
      <c r="R31" s="61">
        <f>+Q31/G31</f>
        <v>0.004767392496011173</v>
      </c>
      <c r="S31" s="45">
        <f>+H31+L31+P31</f>
        <v>22513775.34978495</v>
      </c>
      <c r="T31" s="20">
        <f>S31-G31</f>
        <v>-768410.9849704131</v>
      </c>
      <c r="U31" s="63">
        <f>T31/G31</f>
        <v>-0.033004245130679094</v>
      </c>
      <c r="W31" s="96"/>
    </row>
    <row r="32" spans="1:23" ht="12.75">
      <c r="A32">
        <f>A30+1</f>
        <v>29</v>
      </c>
      <c r="B32" s="41" t="s">
        <v>13</v>
      </c>
      <c r="C32" s="21">
        <v>189</v>
      </c>
      <c r="D32" s="89">
        <f>database!E32</f>
        <v>9934827</v>
      </c>
      <c r="E32" s="167">
        <f>database!B32</f>
        <v>0</v>
      </c>
      <c r="F32" s="167">
        <f>database!C32</f>
        <v>0</v>
      </c>
      <c r="G32" s="22">
        <f>D32+E32+F32</f>
        <v>9934827</v>
      </c>
      <c r="H32" s="46">
        <f>database!F32</f>
        <v>9934827</v>
      </c>
      <c r="I32" s="89">
        <f>+H32-D32</f>
        <v>0</v>
      </c>
      <c r="J32" s="57">
        <v>0</v>
      </c>
      <c r="K32" s="46">
        <f>E32</f>
        <v>0</v>
      </c>
      <c r="L32" s="22">
        <v>0</v>
      </c>
      <c r="M32" s="22">
        <f>L32-K32</f>
        <v>0</v>
      </c>
      <c r="N32" s="97">
        <f>+M32/G32</f>
        <v>0</v>
      </c>
      <c r="O32" s="46">
        <f>F32</f>
        <v>0</v>
      </c>
      <c r="P32" s="22">
        <f>database!G32</f>
        <v>0</v>
      </c>
      <c r="Q32" s="22">
        <f>P32-O32</f>
        <v>0</v>
      </c>
      <c r="R32" s="97">
        <f>+Q32/G32</f>
        <v>0</v>
      </c>
      <c r="S32" s="46">
        <f>+H32+L32+P32</f>
        <v>9934827</v>
      </c>
      <c r="T32" s="22">
        <f>S32-G32</f>
        <v>0</v>
      </c>
      <c r="U32" s="57">
        <f>T32/G32</f>
        <v>0</v>
      </c>
      <c r="W32" s="96"/>
    </row>
    <row r="33" spans="1:23" ht="12.75">
      <c r="A33">
        <f t="shared" si="0"/>
        <v>30</v>
      </c>
      <c r="B33" s="56" t="s">
        <v>49</v>
      </c>
      <c r="C33" s="17">
        <f>SUM(C29:C32)</f>
        <v>708.8146859999999</v>
      </c>
      <c r="D33" s="87">
        <f>SUM(D29:D32)</f>
        <v>42495221</v>
      </c>
      <c r="E33" s="87">
        <f>SUM(E29:E32)</f>
        <v>879406.3053934622</v>
      </c>
      <c r="F33" s="87">
        <f>SUM(F29:F32)</f>
        <v>1639028.56945231</v>
      </c>
      <c r="G33" s="18">
        <f>G29+G30+G31+G32</f>
        <v>45013655.87484577</v>
      </c>
      <c r="H33" s="44">
        <f>SUM(H29:H32)</f>
        <v>42495221</v>
      </c>
      <c r="I33" s="87">
        <f>+H33-D33</f>
        <v>0</v>
      </c>
      <c r="J33" s="48">
        <v>0</v>
      </c>
      <c r="K33" s="44">
        <f>SUM(K29:K32)</f>
        <v>879406.3053934622</v>
      </c>
      <c r="L33" s="18">
        <f>SUM(L29:L32)</f>
        <v>0</v>
      </c>
      <c r="M33" s="18">
        <f>L33-K33</f>
        <v>-879406.3053934622</v>
      </c>
      <c r="N33" s="93">
        <f>+M33/G33</f>
        <v>-0.019536433739986137</v>
      </c>
      <c r="O33" s="44">
        <f>F33</f>
        <v>1639028.56945231</v>
      </c>
      <c r="P33" s="18">
        <f>SUM(P29:P32)</f>
        <v>1621001.875882625</v>
      </c>
      <c r="Q33" s="18">
        <f>P33-O33</f>
        <v>-18026.693569684867</v>
      </c>
      <c r="R33" s="93">
        <f>+Q33/G33</f>
        <v>-0.0004004716617509493</v>
      </c>
      <c r="S33" s="44">
        <f>SUM(S29:S32)</f>
        <v>44116222.875882626</v>
      </c>
      <c r="T33" s="18">
        <f>S33-G33</f>
        <v>-897432.9989631474</v>
      </c>
      <c r="U33" s="48">
        <f>T33/G33</f>
        <v>-0.019936905401737096</v>
      </c>
      <c r="W33" s="96"/>
    </row>
    <row r="34" spans="1:21" ht="12.75">
      <c r="A34">
        <f t="shared" si="0"/>
        <v>31</v>
      </c>
      <c r="B34" s="56"/>
      <c r="C34" s="17"/>
      <c r="D34" s="87"/>
      <c r="E34" s="87"/>
      <c r="F34" s="87"/>
      <c r="G34" s="18"/>
      <c r="H34" s="44"/>
      <c r="I34" s="87"/>
      <c r="J34" s="48"/>
      <c r="K34" s="44"/>
      <c r="L34" s="18"/>
      <c r="M34" s="18"/>
      <c r="N34" s="93"/>
      <c r="O34" s="44"/>
      <c r="P34" s="18"/>
      <c r="Q34" s="18"/>
      <c r="R34" s="93"/>
      <c r="S34" s="44"/>
      <c r="T34" s="18"/>
      <c r="U34" s="48"/>
    </row>
    <row r="35" spans="1:23" ht="12.75">
      <c r="A35">
        <f t="shared" si="0"/>
        <v>32</v>
      </c>
      <c r="B35" s="83" t="s">
        <v>100</v>
      </c>
      <c r="C35" s="17"/>
      <c r="D35" s="88">
        <f>database!E38</f>
        <v>1565170</v>
      </c>
      <c r="E35" s="88">
        <v>0</v>
      </c>
      <c r="F35" s="88">
        <v>0</v>
      </c>
      <c r="G35" s="20">
        <f>D35+E35+F35</f>
        <v>1565170</v>
      </c>
      <c r="H35" s="45">
        <f>D35+I35</f>
        <v>1612125.0999999999</v>
      </c>
      <c r="I35" s="88">
        <f>G35*J35</f>
        <v>46955.09999999984</v>
      </c>
      <c r="J35" s="66">
        <v>0.029999999999999895</v>
      </c>
      <c r="K35" s="45">
        <f>E35</f>
        <v>0</v>
      </c>
      <c r="L35" s="20">
        <v>0</v>
      </c>
      <c r="M35" s="20">
        <f>L35-K35</f>
        <v>0</v>
      </c>
      <c r="N35" s="61">
        <f>+M35/G35</f>
        <v>0</v>
      </c>
      <c r="O35" s="45">
        <f>F35</f>
        <v>0</v>
      </c>
      <c r="P35" s="20">
        <v>0</v>
      </c>
      <c r="Q35" s="20">
        <f>P35-O35</f>
        <v>0</v>
      </c>
      <c r="R35" s="61">
        <f>+Q35/G35</f>
        <v>0</v>
      </c>
      <c r="S35" s="45">
        <f>+H35+L35+P35</f>
        <v>1612125.0999999999</v>
      </c>
      <c r="T35" s="20">
        <f>S35-G35</f>
        <v>46955.09999999986</v>
      </c>
      <c r="U35" s="62">
        <f>T35/G35</f>
        <v>0.029999999999999912</v>
      </c>
      <c r="W35" s="128">
        <f>N35+R35</f>
        <v>0</v>
      </c>
    </row>
    <row r="36" spans="1:21" ht="12.75">
      <c r="A36">
        <f t="shared" si="0"/>
        <v>33</v>
      </c>
      <c r="B36" s="39"/>
      <c r="C36" s="19"/>
      <c r="D36" s="88"/>
      <c r="E36" s="88"/>
      <c r="F36" s="88"/>
      <c r="G36" s="20"/>
      <c r="H36" s="45"/>
      <c r="I36" s="88"/>
      <c r="J36" s="63"/>
      <c r="K36" s="45"/>
      <c r="L36" s="20"/>
      <c r="M36" s="20"/>
      <c r="N36" s="92"/>
      <c r="O36" s="45"/>
      <c r="P36" s="20"/>
      <c r="Q36" s="20"/>
      <c r="R36" s="92"/>
      <c r="S36" s="45"/>
      <c r="T36" s="20"/>
      <c r="U36" s="63"/>
    </row>
    <row r="37" spans="1:21" ht="12.75">
      <c r="A37">
        <f t="shared" si="0"/>
        <v>34</v>
      </c>
      <c r="B37" s="37"/>
      <c r="C37" s="17"/>
      <c r="D37" s="90"/>
      <c r="E37" s="90"/>
      <c r="F37" s="90"/>
      <c r="G37" s="23"/>
      <c r="H37" s="47"/>
      <c r="I37" s="90"/>
      <c r="J37" s="63"/>
      <c r="K37" s="47"/>
      <c r="L37" s="23"/>
      <c r="M37" s="23"/>
      <c r="N37" s="93"/>
      <c r="O37" s="47"/>
      <c r="P37" s="23"/>
      <c r="Q37" s="23"/>
      <c r="R37" s="93"/>
      <c r="S37" s="47"/>
      <c r="T37" s="23"/>
      <c r="U37" s="48"/>
    </row>
    <row r="38" spans="1:21" ht="12.75">
      <c r="A38">
        <f t="shared" si="0"/>
        <v>35</v>
      </c>
      <c r="B38" s="38" t="s">
        <v>15</v>
      </c>
      <c r="C38" s="17">
        <f>C26+C33</f>
        <v>10020.291344</v>
      </c>
      <c r="D38" s="87">
        <f>D26+D33+D35</f>
        <v>1168875911.6974525</v>
      </c>
      <c r="E38" s="87">
        <f>E26+E33+E35</f>
        <v>34342041.74924919</v>
      </c>
      <c r="F38" s="87">
        <f>F26+F33+F35</f>
        <v>33856395.27654465</v>
      </c>
      <c r="G38" s="18">
        <f>G26+G33+G35</f>
        <v>1237074348.7232463</v>
      </c>
      <c r="H38" s="44">
        <f>H26+H33+H35</f>
        <v>1242768768.3901343</v>
      </c>
      <c r="I38" s="87">
        <f>I26+I35</f>
        <v>73892856.69268212</v>
      </c>
      <c r="J38" s="48">
        <f>I38/G38</f>
        <v>0.05973194478484264</v>
      </c>
      <c r="K38" s="44">
        <f>K26+K33+K35</f>
        <v>34342041.74924919</v>
      </c>
      <c r="L38" s="18">
        <f>L26+L33+L35</f>
        <v>0</v>
      </c>
      <c r="M38" s="18">
        <f>L38-K38</f>
        <v>-34342041.74924919</v>
      </c>
      <c r="N38" s="93">
        <f>+M38/G38</f>
        <v>-0.027760693433416316</v>
      </c>
      <c r="O38" s="44">
        <f>F38</f>
        <v>33856395.27654465</v>
      </c>
      <c r="P38" s="18">
        <f>P26+P33</f>
        <v>29177032.548662838</v>
      </c>
      <c r="Q38" s="18">
        <f>P38-O38</f>
        <v>-4679362.727881815</v>
      </c>
      <c r="R38" s="93">
        <f>+Q38/G38</f>
        <v>-0.0037826042813928437</v>
      </c>
      <c r="S38" s="44">
        <f>S26+S33+S35</f>
        <v>1271945800.9387975</v>
      </c>
      <c r="T38" s="18">
        <f>S38-G38</f>
        <v>34871452.21555114</v>
      </c>
      <c r="U38" s="48">
        <f>T38/G38</f>
        <v>0.0281886470700335</v>
      </c>
    </row>
    <row r="39" spans="1:21" ht="12.75">
      <c r="A39">
        <f t="shared" si="0"/>
        <v>36</v>
      </c>
      <c r="B39" s="39"/>
      <c r="C39" s="19"/>
      <c r="D39" s="88"/>
      <c r="E39" s="88"/>
      <c r="F39" s="88"/>
      <c r="G39" s="20"/>
      <c r="H39" s="45"/>
      <c r="I39" s="88"/>
      <c r="J39" s="63"/>
      <c r="K39" s="45"/>
      <c r="L39" s="20"/>
      <c r="M39" s="20"/>
      <c r="N39" s="92"/>
      <c r="O39" s="45"/>
      <c r="P39" s="20"/>
      <c r="Q39" s="20"/>
      <c r="R39" s="92"/>
      <c r="S39" s="45"/>
      <c r="T39" s="20"/>
      <c r="U39" s="63"/>
    </row>
    <row r="40" spans="1:21" ht="12.75">
      <c r="A40">
        <f t="shared" si="0"/>
        <v>37</v>
      </c>
      <c r="B40" s="24" t="s">
        <v>16</v>
      </c>
      <c r="C40" s="19">
        <v>28.943</v>
      </c>
      <c r="D40" s="88">
        <f>database!E42</f>
        <v>1806823</v>
      </c>
      <c r="E40" s="88">
        <f>+database!B42</f>
        <v>0</v>
      </c>
      <c r="F40" s="88">
        <f>database!C42</f>
        <v>0</v>
      </c>
      <c r="G40" s="20">
        <f>D40+E40+F40</f>
        <v>1806823</v>
      </c>
      <c r="H40" s="45">
        <f>database!F42</f>
        <v>1806823</v>
      </c>
      <c r="I40" s="88">
        <f>+H40-D40</f>
        <v>0</v>
      </c>
      <c r="J40" s="63">
        <v>0</v>
      </c>
      <c r="K40" s="45">
        <f>E40</f>
        <v>0</v>
      </c>
      <c r="L40" s="20">
        <v>0</v>
      </c>
      <c r="M40" s="20">
        <f>L40-K40</f>
        <v>0</v>
      </c>
      <c r="N40" s="61">
        <f>+M40/G40</f>
        <v>0</v>
      </c>
      <c r="O40" s="45">
        <f>F40</f>
        <v>0</v>
      </c>
      <c r="P40" s="20">
        <f>database!G42</f>
        <v>0</v>
      </c>
      <c r="Q40" s="20">
        <f>P40-O40</f>
        <v>0</v>
      </c>
      <c r="R40" s="61">
        <f>+Q40/G40</f>
        <v>0</v>
      </c>
      <c r="S40" s="45">
        <f>+H40+L40+P40</f>
        <v>1806823</v>
      </c>
      <c r="T40" s="20">
        <f>S40-G40</f>
        <v>0</v>
      </c>
      <c r="U40" s="63">
        <f>T40/G40</f>
        <v>0</v>
      </c>
    </row>
    <row r="41" spans="1:21" ht="12.75">
      <c r="A41">
        <f t="shared" si="0"/>
        <v>38</v>
      </c>
      <c r="B41" s="24"/>
      <c r="C41" s="19"/>
      <c r="D41" s="88"/>
      <c r="E41" s="88"/>
      <c r="F41" s="88"/>
      <c r="G41" s="20"/>
      <c r="H41" s="45"/>
      <c r="I41" s="88"/>
      <c r="J41" s="63"/>
      <c r="K41" s="45"/>
      <c r="L41" s="20"/>
      <c r="M41" s="20"/>
      <c r="N41" s="92"/>
      <c r="O41" s="45"/>
      <c r="P41" s="20"/>
      <c r="Q41" s="20"/>
      <c r="R41" s="92"/>
      <c r="S41" s="45"/>
      <c r="T41" s="20"/>
      <c r="U41" s="63"/>
    </row>
    <row r="42" spans="1:21" ht="12.75">
      <c r="A42">
        <f t="shared" si="0"/>
        <v>39</v>
      </c>
      <c r="B42" s="37" t="s">
        <v>17</v>
      </c>
      <c r="C42" s="17">
        <f aca="true" t="shared" si="7" ref="C42:H42">C38+C40</f>
        <v>10049.234343999999</v>
      </c>
      <c r="D42" s="87">
        <f t="shared" si="7"/>
        <v>1170682734.6974525</v>
      </c>
      <c r="E42" s="87">
        <f t="shared" si="7"/>
        <v>34342041.74924919</v>
      </c>
      <c r="F42" s="87">
        <f t="shared" si="7"/>
        <v>33856395.27654465</v>
      </c>
      <c r="G42" s="18">
        <f t="shared" si="7"/>
        <v>1238881171.7232463</v>
      </c>
      <c r="H42" s="44">
        <f t="shared" si="7"/>
        <v>1244575591.3901343</v>
      </c>
      <c r="I42" s="87">
        <f>I38+I40</f>
        <v>73892856.69268212</v>
      </c>
      <c r="J42" s="48">
        <f>I42/G42</f>
        <v>0.059644829850710686</v>
      </c>
      <c r="K42" s="44">
        <f>K38+K40</f>
        <v>34342041.74924919</v>
      </c>
      <c r="L42" s="18">
        <f>L38+L40</f>
        <v>0</v>
      </c>
      <c r="M42" s="18">
        <f>L42-K42</f>
        <v>-34342041.74924919</v>
      </c>
      <c r="N42" s="93">
        <f>+M42/G42</f>
        <v>-0.02772020637094714</v>
      </c>
      <c r="O42" s="44">
        <f>F42</f>
        <v>33856395.27654465</v>
      </c>
      <c r="P42" s="18">
        <f>P38+P40</f>
        <v>29177032.548662838</v>
      </c>
      <c r="Q42" s="18">
        <f>P42-O42</f>
        <v>-4679362.727881815</v>
      </c>
      <c r="R42" s="93">
        <f>+Q42/G42</f>
        <v>-0.0037770876131509555</v>
      </c>
      <c r="S42" s="44">
        <f>S38+S40</f>
        <v>1273752623.9387975</v>
      </c>
      <c r="T42" s="18">
        <f>S42-G42</f>
        <v>34871452.21555114</v>
      </c>
      <c r="U42" s="48">
        <f>T42/G42</f>
        <v>0.028147535866612613</v>
      </c>
    </row>
    <row r="43" spans="1:21" ht="12.75">
      <c r="A43">
        <f t="shared" si="0"/>
        <v>40</v>
      </c>
      <c r="B43" s="24"/>
      <c r="C43" s="19"/>
      <c r="D43" s="88"/>
      <c r="E43" s="88"/>
      <c r="F43" s="88"/>
      <c r="G43" s="20"/>
      <c r="H43" s="45"/>
      <c r="I43" s="88"/>
      <c r="J43" s="63"/>
      <c r="K43" s="45"/>
      <c r="L43" s="20"/>
      <c r="M43" s="20"/>
      <c r="N43" s="92"/>
      <c r="O43" s="45"/>
      <c r="P43" s="20"/>
      <c r="Q43" s="20"/>
      <c r="R43" s="92"/>
      <c r="S43" s="45"/>
      <c r="T43" s="20"/>
      <c r="U43" s="63"/>
    </row>
    <row r="44" spans="1:23" ht="12.75">
      <c r="A44">
        <f t="shared" si="0"/>
        <v>41</v>
      </c>
      <c r="B44" s="39" t="s">
        <v>37</v>
      </c>
      <c r="C44" s="19">
        <f>700.760344+0.897</f>
        <v>701.6573440000001</v>
      </c>
      <c r="D44" s="88">
        <f>database!E49</f>
        <v>21959248.80253</v>
      </c>
      <c r="E44" s="88">
        <v>0</v>
      </c>
      <c r="F44" s="88">
        <v>0</v>
      </c>
      <c r="G44" s="20">
        <f>D44+E44+F44</f>
        <v>21959248.80253</v>
      </c>
      <c r="H44" s="45">
        <f>D44+I44</f>
        <v>22315097.376061857</v>
      </c>
      <c r="I44" s="88">
        <f>G44*J44</f>
        <v>355848.5735318535</v>
      </c>
      <c r="J44" s="62">
        <v>0.016204952033279707</v>
      </c>
      <c r="K44" s="45">
        <f>E44</f>
        <v>0</v>
      </c>
      <c r="L44" s="20">
        <v>0</v>
      </c>
      <c r="M44" s="20">
        <f>L44-K44</f>
        <v>0</v>
      </c>
      <c r="N44" s="61">
        <f>+M44/G44</f>
        <v>0</v>
      </c>
      <c r="O44" s="45">
        <f>F44</f>
        <v>0</v>
      </c>
      <c r="P44" s="20">
        <f>database!G47</f>
        <v>0</v>
      </c>
      <c r="Q44" s="20">
        <f>P44-O44</f>
        <v>0</v>
      </c>
      <c r="R44" s="61">
        <f>+Q44/G44</f>
        <v>0</v>
      </c>
      <c r="S44" s="45">
        <f>+H44+L44+P44</f>
        <v>22315097.376061857</v>
      </c>
      <c r="T44" s="20">
        <f>S44-G44</f>
        <v>355848.5735318549</v>
      </c>
      <c r="U44" s="63">
        <f>T44/G44</f>
        <v>0.01620495203327977</v>
      </c>
      <c r="W44" s="128">
        <f>N44+R44</f>
        <v>0</v>
      </c>
    </row>
    <row r="45" spans="1:21" ht="12.75">
      <c r="A45">
        <f t="shared" si="0"/>
        <v>42</v>
      </c>
      <c r="B45" s="24"/>
      <c r="C45" s="19"/>
      <c r="D45" s="88"/>
      <c r="E45" s="88"/>
      <c r="F45" s="88"/>
      <c r="G45" s="20"/>
      <c r="H45" s="45"/>
      <c r="I45" s="88"/>
      <c r="J45" s="63"/>
      <c r="K45" s="45"/>
      <c r="L45" s="20"/>
      <c r="M45" s="20"/>
      <c r="N45" s="92"/>
      <c r="O45" s="45"/>
      <c r="P45" s="20"/>
      <c r="Q45" s="20"/>
      <c r="R45" s="92"/>
      <c r="S45" s="45"/>
      <c r="T45" s="20"/>
      <c r="U45" s="63"/>
    </row>
    <row r="46" spans="1:23" ht="12.75">
      <c r="A46">
        <f t="shared" si="0"/>
        <v>43</v>
      </c>
      <c r="B46" s="36" t="s">
        <v>35</v>
      </c>
      <c r="C46" s="17">
        <f aca="true" t="shared" si="8" ref="C46:H46">C42+C44</f>
        <v>10750.891687999998</v>
      </c>
      <c r="D46" s="90">
        <f>D42+D44</f>
        <v>1192641983.4999826</v>
      </c>
      <c r="E46" s="90">
        <f t="shared" si="8"/>
        <v>34342041.74924919</v>
      </c>
      <c r="F46" s="90">
        <f t="shared" si="8"/>
        <v>33856395.27654465</v>
      </c>
      <c r="G46" s="23">
        <f t="shared" si="8"/>
        <v>1260840420.5257764</v>
      </c>
      <c r="H46" s="47">
        <f t="shared" si="8"/>
        <v>1266890688.7661963</v>
      </c>
      <c r="I46" s="90">
        <f>I42+I44</f>
        <v>74248705.26621397</v>
      </c>
      <c r="J46" s="48">
        <f>I46/G46</f>
        <v>0.05888826536450339</v>
      </c>
      <c r="K46" s="44">
        <f>K42+K44</f>
        <v>34342041.74924919</v>
      </c>
      <c r="L46" s="18">
        <f>L42+L44</f>
        <v>0</v>
      </c>
      <c r="M46" s="18">
        <f>L46-K46</f>
        <v>-34342041.74924919</v>
      </c>
      <c r="N46" s="93">
        <f>+M46/G46</f>
        <v>-0.027237421318495166</v>
      </c>
      <c r="O46" s="44">
        <f>F46</f>
        <v>33856395.27654465</v>
      </c>
      <c r="P46" s="23">
        <f>P42+P44</f>
        <v>29177032.548662838</v>
      </c>
      <c r="Q46" s="18">
        <f>P46-O46</f>
        <v>-4679362.727881815</v>
      </c>
      <c r="R46" s="93">
        <f>+Q46/G46</f>
        <v>-0.0037113045011124396</v>
      </c>
      <c r="S46" s="44">
        <f>S42+S44</f>
        <v>1296067721.3148594</v>
      </c>
      <c r="T46" s="23">
        <f>S46-G46</f>
        <v>35227300.789083004</v>
      </c>
      <c r="U46" s="48">
        <f>T46/G46</f>
        <v>0.02793953954489582</v>
      </c>
      <c r="W46" s="96"/>
    </row>
    <row r="47" spans="1:21" ht="12.75">
      <c r="A47">
        <f t="shared" si="0"/>
        <v>44</v>
      </c>
      <c r="B47" s="42"/>
      <c r="C47" s="8"/>
      <c r="D47" s="9"/>
      <c r="E47" s="9"/>
      <c r="F47" s="81"/>
      <c r="G47" s="9"/>
      <c r="H47" s="8"/>
      <c r="I47" s="81"/>
      <c r="J47" s="64"/>
      <c r="K47" s="8"/>
      <c r="L47" s="9"/>
      <c r="M47" s="9"/>
      <c r="N47" s="84"/>
      <c r="O47" s="8"/>
      <c r="P47" s="9"/>
      <c r="Q47" s="9"/>
      <c r="R47" s="84"/>
      <c r="S47" s="8"/>
      <c r="T47" s="9"/>
      <c r="U47" s="64"/>
    </row>
    <row r="48" spans="1:21" ht="12.75">
      <c r="A48">
        <f t="shared" si="0"/>
        <v>45</v>
      </c>
      <c r="F48" s="82"/>
      <c r="G48" s="91"/>
      <c r="H48" s="65"/>
      <c r="J48" s="85"/>
      <c r="K48" s="85"/>
      <c r="L48" s="85"/>
      <c r="M48" s="85"/>
      <c r="N48" s="85"/>
      <c r="R48" s="85"/>
      <c r="U48" s="85"/>
    </row>
    <row r="49" spans="1:18" ht="12.75">
      <c r="A49">
        <f t="shared" si="0"/>
        <v>46</v>
      </c>
      <c r="B49" t="s">
        <v>95</v>
      </c>
      <c r="F49" s="82"/>
      <c r="G49" s="98"/>
      <c r="H49" s="65"/>
      <c r="K49" s="85"/>
      <c r="L49" s="85"/>
      <c r="M49" s="85"/>
      <c r="N49" s="85"/>
      <c r="P49" s="65"/>
      <c r="R49" s="85"/>
    </row>
    <row r="50" spans="1:18" ht="12.75">
      <c r="A50">
        <f t="shared" si="0"/>
        <v>47</v>
      </c>
      <c r="B50" t="s">
        <v>102</v>
      </c>
      <c r="F50" s="82"/>
      <c r="G50" s="98"/>
      <c r="H50" s="65"/>
      <c r="J50" s="85"/>
      <c r="K50" s="85"/>
      <c r="L50" s="85"/>
      <c r="M50" s="85"/>
      <c r="N50" s="85"/>
      <c r="R50" s="85"/>
    </row>
    <row r="51" spans="3:18" ht="12.75">
      <c r="C51" s="96"/>
      <c r="D51" s="99"/>
      <c r="E51" s="99"/>
      <c r="F51" s="99"/>
      <c r="G51" s="99"/>
      <c r="H51" s="99"/>
      <c r="I51" s="99"/>
      <c r="J51" s="85"/>
      <c r="K51" s="85"/>
      <c r="L51" s="85"/>
      <c r="M51" s="85"/>
      <c r="N51" s="85"/>
      <c r="P51" s="65"/>
      <c r="R51" s="85"/>
    </row>
    <row r="52" spans="2:18" ht="12.75">
      <c r="B52" s="95"/>
      <c r="C52" s="96"/>
      <c r="D52" s="99"/>
      <c r="E52" s="99"/>
      <c r="F52" s="99"/>
      <c r="G52" s="99"/>
      <c r="H52" s="99"/>
      <c r="I52" s="99"/>
      <c r="J52" s="85"/>
      <c r="K52" s="85"/>
      <c r="L52" s="85"/>
      <c r="M52" s="85"/>
      <c r="N52" s="85"/>
      <c r="P52" s="65"/>
      <c r="R52" s="85"/>
    </row>
    <row r="53" spans="6:21" ht="12.75">
      <c r="F53" s="82"/>
      <c r="G53" s="91"/>
      <c r="J53" s="85"/>
      <c r="K53" s="85"/>
      <c r="L53" s="85"/>
      <c r="M53" s="85"/>
      <c r="N53" s="85"/>
      <c r="P53" s="65"/>
      <c r="R53" s="85"/>
      <c r="U53" s="85"/>
    </row>
    <row r="54" spans="5:21" ht="12.75">
      <c r="E54" s="95"/>
      <c r="F54" s="82"/>
      <c r="G54" s="91"/>
      <c r="J54" s="85"/>
      <c r="K54" s="85"/>
      <c r="L54" s="85"/>
      <c r="M54" s="85"/>
      <c r="N54" s="85"/>
      <c r="P54" s="96"/>
      <c r="S54" s="65"/>
      <c r="T54" s="74"/>
      <c r="U54" s="85"/>
    </row>
    <row r="55" spans="2:21" ht="12.75">
      <c r="B55" s="95"/>
      <c r="F55" s="82"/>
      <c r="G55" s="91"/>
      <c r="J55" s="145"/>
      <c r="K55" s="85"/>
      <c r="L55" s="85"/>
      <c r="M55" s="85"/>
      <c r="N55" s="85"/>
      <c r="P55" s="65"/>
      <c r="T55" s="74"/>
      <c r="U55" s="85"/>
    </row>
    <row r="56" spans="2:21" ht="12.75">
      <c r="B56" s="95"/>
      <c r="C56" s="74"/>
      <c r="D56" s="74"/>
      <c r="F56" s="82"/>
      <c r="G56" s="91"/>
      <c r="J56" s="85"/>
      <c r="K56" s="85"/>
      <c r="L56" s="85"/>
      <c r="M56" s="85"/>
      <c r="N56" s="85"/>
      <c r="U56" s="85"/>
    </row>
    <row r="57" spans="2:21" ht="12.75">
      <c r="B57" s="95"/>
      <c r="C57" s="74"/>
      <c r="D57" s="74"/>
      <c r="F57" s="82"/>
      <c r="J57" s="85"/>
      <c r="K57" s="85"/>
      <c r="L57" s="85"/>
      <c r="M57" s="85"/>
      <c r="N57" s="85"/>
      <c r="T57" s="74"/>
      <c r="U57" s="85"/>
    </row>
    <row r="58" spans="2:14" ht="12.75">
      <c r="B58" s="95"/>
      <c r="C58" s="74"/>
      <c r="D58" s="74"/>
      <c r="E58" s="74"/>
      <c r="J58" s="85"/>
      <c r="K58" s="85"/>
      <c r="L58" s="85"/>
      <c r="M58" s="85"/>
      <c r="N58" s="85"/>
    </row>
    <row r="59" spans="2:14" ht="12.75">
      <c r="B59" s="95"/>
      <c r="C59" s="74"/>
      <c r="D59" s="74"/>
      <c r="E59" s="74"/>
      <c r="J59" s="85"/>
      <c r="K59" s="85"/>
      <c r="L59" s="85"/>
      <c r="M59" s="85"/>
      <c r="N59" s="85"/>
    </row>
    <row r="60" spans="2:14" ht="12.75">
      <c r="B60" s="95"/>
      <c r="C60" s="132"/>
      <c r="D60" s="132"/>
      <c r="E60" s="74"/>
      <c r="J60" s="85"/>
      <c r="K60" s="85"/>
      <c r="L60" s="85"/>
      <c r="M60" s="85"/>
      <c r="N60" s="85"/>
    </row>
    <row r="61" spans="2:14" ht="12.75">
      <c r="B61" s="95"/>
      <c r="C61" s="74"/>
      <c r="D61" s="74"/>
      <c r="E61" s="74"/>
      <c r="J61" s="85"/>
      <c r="K61" s="85"/>
      <c r="L61" s="85"/>
      <c r="M61" s="85"/>
      <c r="N61" s="85"/>
    </row>
    <row r="62" spans="3:14" ht="12.75">
      <c r="C62" s="74"/>
      <c r="D62" s="74"/>
      <c r="J62" s="85"/>
      <c r="K62" s="85"/>
      <c r="L62" s="85"/>
      <c r="M62" s="85"/>
      <c r="N62" s="85"/>
    </row>
    <row r="63" spans="2:14" ht="12.75">
      <c r="B63" s="95"/>
      <c r="C63" s="74"/>
      <c r="D63" s="74"/>
      <c r="E63" s="74"/>
      <c r="J63" s="85"/>
      <c r="K63" s="85"/>
      <c r="L63" s="85"/>
      <c r="M63" s="85"/>
      <c r="N63" s="85"/>
    </row>
    <row r="64" spans="3:14" ht="12.75">
      <c r="C64" s="74"/>
      <c r="D64" s="74"/>
      <c r="E64" s="74"/>
      <c r="J64" s="85"/>
      <c r="K64" s="85"/>
      <c r="L64" s="85"/>
      <c r="M64" s="85"/>
      <c r="N64" s="85"/>
    </row>
    <row r="65" spans="2:14" ht="12.75">
      <c r="B65" s="95"/>
      <c r="C65" s="133"/>
      <c r="D65" s="133"/>
      <c r="E65" s="133"/>
      <c r="J65" s="85"/>
      <c r="K65" s="85"/>
      <c r="L65" s="85"/>
      <c r="M65" s="85"/>
      <c r="N65" s="85"/>
    </row>
    <row r="66" spans="10:14" ht="12.75">
      <c r="J66" s="85"/>
      <c r="K66" s="85"/>
      <c r="L66" s="85"/>
      <c r="M66" s="85"/>
      <c r="N66" s="85"/>
    </row>
  </sheetData>
  <sheetProtection/>
  <mergeCells count="5">
    <mergeCell ref="C2:U2"/>
    <mergeCell ref="H3:J3"/>
    <mergeCell ref="K3:N3"/>
    <mergeCell ref="O3:R3"/>
    <mergeCell ref="S3:U3"/>
  </mergeCells>
  <printOptions/>
  <pageMargins left="0.2" right="0.2" top="0.23" bottom="0.23" header="0.17" footer="0.17"/>
  <pageSetup fitToHeight="1" fitToWidth="1" horizontalDpi="600" verticalDpi="600" orientation="landscape" paperSize="3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8.140625" style="0" customWidth="1"/>
    <col min="4" max="4" width="16.8515625" style="0" customWidth="1"/>
    <col min="5" max="5" width="13.140625" style="0" bestFit="1" customWidth="1"/>
    <col min="6" max="6" width="13.7109375" style="0" bestFit="1" customWidth="1"/>
    <col min="7" max="8" width="13.140625" style="0" customWidth="1"/>
    <col min="9" max="9" width="11.140625" style="0" bestFit="1" customWidth="1"/>
    <col min="10" max="10" width="15.421875" style="0" customWidth="1"/>
  </cols>
  <sheetData>
    <row r="1" ht="27" customHeight="1"/>
    <row r="2" spans="2:10" ht="18.75" customHeight="1">
      <c r="B2" s="178" t="s">
        <v>131</v>
      </c>
      <c r="C2" s="179"/>
      <c r="D2" s="179"/>
      <c r="E2" s="179"/>
      <c r="F2" s="179"/>
      <c r="G2" s="179"/>
      <c r="H2" s="179"/>
      <c r="I2" s="179"/>
      <c r="J2" s="179"/>
    </row>
    <row r="3" spans="1:10" ht="75.75">
      <c r="A3">
        <v>1</v>
      </c>
      <c r="B3" s="53" t="s">
        <v>20</v>
      </c>
      <c r="C3" s="159" t="s">
        <v>115</v>
      </c>
      <c r="D3" s="159" t="s">
        <v>116</v>
      </c>
      <c r="E3" s="174" t="s">
        <v>128</v>
      </c>
      <c r="F3" s="175"/>
      <c r="G3" s="175"/>
      <c r="H3" s="175"/>
      <c r="I3" s="175"/>
      <c r="J3" s="176"/>
    </row>
    <row r="4" spans="1:10" ht="20.25">
      <c r="A4">
        <f>A3+1</f>
        <v>2</v>
      </c>
      <c r="B4" s="101" t="s">
        <v>66</v>
      </c>
      <c r="C4" s="142" t="s">
        <v>53</v>
      </c>
      <c r="D4" s="101" t="s">
        <v>67</v>
      </c>
      <c r="E4" s="101" t="s">
        <v>54</v>
      </c>
      <c r="F4" s="102" t="s">
        <v>60</v>
      </c>
      <c r="G4" s="102" t="s">
        <v>61</v>
      </c>
      <c r="H4" s="102" t="s">
        <v>68</v>
      </c>
      <c r="I4" s="102" t="s">
        <v>55</v>
      </c>
      <c r="J4" s="103" t="s">
        <v>57</v>
      </c>
    </row>
    <row r="5" spans="2:10" ht="20.25">
      <c r="B5" s="101" t="s">
        <v>118</v>
      </c>
      <c r="C5" s="142"/>
      <c r="D5" s="101"/>
      <c r="E5" s="101" t="s">
        <v>123</v>
      </c>
      <c r="F5" s="102"/>
      <c r="G5" s="102"/>
      <c r="H5" s="102" t="s">
        <v>125</v>
      </c>
      <c r="I5" s="102" t="s">
        <v>52</v>
      </c>
      <c r="J5" s="103" t="s">
        <v>119</v>
      </c>
    </row>
    <row r="6" spans="1:10" ht="51">
      <c r="A6">
        <f>A4+1</f>
        <v>3</v>
      </c>
      <c r="B6" s="58"/>
      <c r="C6" s="75" t="s">
        <v>32</v>
      </c>
      <c r="D6" s="75" t="s">
        <v>32</v>
      </c>
      <c r="E6" s="75" t="s">
        <v>109</v>
      </c>
      <c r="F6" s="80" t="s">
        <v>129</v>
      </c>
      <c r="G6" s="80" t="s">
        <v>105</v>
      </c>
      <c r="H6" s="149" t="s">
        <v>111</v>
      </c>
      <c r="I6" s="80" t="s">
        <v>126</v>
      </c>
      <c r="J6" s="149" t="s">
        <v>112</v>
      </c>
    </row>
    <row r="7" spans="1:10" ht="12.75">
      <c r="A7">
        <f aca="true" t="shared" si="0" ref="A7:A51">A6+1</f>
        <v>4</v>
      </c>
      <c r="B7" s="37" t="s">
        <v>21</v>
      </c>
      <c r="C7" s="43"/>
      <c r="D7" s="33"/>
      <c r="E7" s="33"/>
      <c r="F7" s="1"/>
      <c r="G7" s="1"/>
      <c r="H7" s="71"/>
      <c r="I7" s="1"/>
      <c r="J7" s="71"/>
    </row>
    <row r="8" spans="1:10" ht="12.75">
      <c r="A8">
        <f t="shared" si="0"/>
        <v>5</v>
      </c>
      <c r="B8" s="38" t="s">
        <v>8</v>
      </c>
      <c r="C8" s="44">
        <f>'2014 Revenue Summary - B'!S7</f>
        <v>689767669.2582232</v>
      </c>
      <c r="D8" s="44">
        <f>'2014 Revenue Summary - B2'!S7</f>
        <v>653998267.2934958</v>
      </c>
      <c r="E8" s="134">
        <f>C8-D8</f>
        <v>35769401.9647274</v>
      </c>
      <c r="F8" s="87">
        <v>0</v>
      </c>
      <c r="G8" s="87">
        <f>E8*$G$50/2</f>
        <v>1400372.0869190777</v>
      </c>
      <c r="H8" s="150">
        <f>E8+G8</f>
        <v>37169774.05164648</v>
      </c>
      <c r="I8" s="87">
        <f>'2013 Deferred Amount V2'!M8</f>
        <v>34887551.76852907</v>
      </c>
      <c r="J8" s="150">
        <f>H8+I8</f>
        <v>72057325.82017556</v>
      </c>
    </row>
    <row r="9" spans="1:10" ht="12.75">
      <c r="A9">
        <f t="shared" si="0"/>
        <v>6</v>
      </c>
      <c r="B9" s="39"/>
      <c r="C9" s="45"/>
      <c r="D9" s="45"/>
      <c r="E9" s="135"/>
      <c r="F9" s="88"/>
      <c r="G9" s="88"/>
      <c r="H9" s="151"/>
      <c r="I9" s="88"/>
      <c r="J9" s="151"/>
    </row>
    <row r="10" spans="1:10" ht="12.75">
      <c r="A10">
        <f t="shared" si="0"/>
        <v>7</v>
      </c>
      <c r="B10" s="54" t="s">
        <v>0</v>
      </c>
      <c r="C10" s="45">
        <f>'2014 Revenue Summary - B'!S9</f>
        <v>36687016.53560616</v>
      </c>
      <c r="D10" s="45">
        <f>'2014 Revenue Summary - B2'!S9</f>
        <v>34825488.93210259</v>
      </c>
      <c r="E10" s="135">
        <f>C10-D10</f>
        <v>1861527.60350357</v>
      </c>
      <c r="F10" s="88">
        <v>0</v>
      </c>
      <c r="G10" s="88">
        <f>E10*$G$50/2</f>
        <v>72878.80567716475</v>
      </c>
      <c r="H10" s="151">
        <f>E10+G10</f>
        <v>1934406.4091807348</v>
      </c>
      <c r="I10" s="88">
        <f>'2013 Deferred Amount V2'!M10</f>
        <v>1874887.288738656</v>
      </c>
      <c r="J10" s="151">
        <f>H10+I10</f>
        <v>3809293.697919391</v>
      </c>
    </row>
    <row r="11" spans="1:10" ht="12.75">
      <c r="A11">
        <f t="shared" si="0"/>
        <v>8</v>
      </c>
      <c r="B11" s="39" t="s">
        <v>9</v>
      </c>
      <c r="C11" s="45">
        <f>'2014 Revenue Summary - B'!S10</f>
        <v>321964307.32429814</v>
      </c>
      <c r="D11" s="45">
        <f>'2014 Revenue Summary - B2'!S10</f>
        <v>309954678.3055424</v>
      </c>
      <c r="E11" s="135">
        <f>C11-D11</f>
        <v>12009629.018755734</v>
      </c>
      <c r="F11" s="88">
        <v>0</v>
      </c>
      <c r="G11" s="88">
        <f>E11*$G$50/2</f>
        <v>470176.97608428693</v>
      </c>
      <c r="H11" s="151">
        <f>E11+G11</f>
        <v>12479805.99484002</v>
      </c>
      <c r="I11" s="88">
        <f>'2013 Deferred Amount V2'!M11</f>
        <v>13638908.769806538</v>
      </c>
      <c r="J11" s="151">
        <f>H11+I11</f>
        <v>26118714.76464656</v>
      </c>
    </row>
    <row r="12" spans="1:10" ht="12.75">
      <c r="A12">
        <f t="shared" si="0"/>
        <v>9</v>
      </c>
      <c r="B12" s="55" t="s">
        <v>1</v>
      </c>
      <c r="C12" s="46">
        <f>'2014 Revenue Summary - B'!S11</f>
        <v>43662457.37403231</v>
      </c>
      <c r="D12" s="46">
        <f>'2014 Revenue Summary - B2'!S11</f>
        <v>42344631.731223926</v>
      </c>
      <c r="E12" s="136">
        <f>C12-D12</f>
        <v>1317825.6428083852</v>
      </c>
      <c r="F12" s="89">
        <v>0</v>
      </c>
      <c r="G12" s="89">
        <f>E12*$G$50/2</f>
        <v>51592.87391594828</v>
      </c>
      <c r="H12" s="152">
        <f>E12+G12</f>
        <v>1369418.5167243334</v>
      </c>
      <c r="I12" s="89">
        <f>'2013 Deferred Amount V2'!M12</f>
        <v>1889165.4761163606</v>
      </c>
      <c r="J12" s="152">
        <f>H12+I12</f>
        <v>3258583.9928406943</v>
      </c>
    </row>
    <row r="13" spans="1:10" ht="12.75">
      <c r="A13">
        <f t="shared" si="0"/>
        <v>10</v>
      </c>
      <c r="B13" s="38" t="s">
        <v>10</v>
      </c>
      <c r="C13" s="44">
        <f>SUM(C10:C12)</f>
        <v>402313781.2339366</v>
      </c>
      <c r="D13" s="44">
        <f>SUM(D10:D12)</f>
        <v>387124798.968869</v>
      </c>
      <c r="E13" s="134">
        <f aca="true" t="shared" si="1" ref="E13:J13">E10+E11+E12</f>
        <v>15188982.26506769</v>
      </c>
      <c r="F13" s="87">
        <v>0</v>
      </c>
      <c r="G13" s="87">
        <f t="shared" si="1"/>
        <v>594648.6556774</v>
      </c>
      <c r="H13" s="150">
        <f t="shared" si="1"/>
        <v>15783630.920745088</v>
      </c>
      <c r="I13" s="87">
        <f t="shared" si="1"/>
        <v>17402961.534661554</v>
      </c>
      <c r="J13" s="150">
        <f t="shared" si="1"/>
        <v>33186592.455406643</v>
      </c>
    </row>
    <row r="14" spans="1:10" ht="12.75">
      <c r="A14">
        <f t="shared" si="0"/>
        <v>11</v>
      </c>
      <c r="B14" s="39"/>
      <c r="C14" s="45"/>
      <c r="D14" s="45"/>
      <c r="E14" s="135"/>
      <c r="F14" s="88"/>
      <c r="G14" s="88"/>
      <c r="H14" s="151"/>
      <c r="I14" s="88"/>
      <c r="J14" s="151"/>
    </row>
    <row r="15" spans="1:10" ht="12.75">
      <c r="A15">
        <f t="shared" si="0"/>
        <v>12</v>
      </c>
      <c r="B15" s="39" t="s">
        <v>2</v>
      </c>
      <c r="C15" s="45">
        <f>'2014 Revenue Summary - B'!S14</f>
        <v>33494503.46633076</v>
      </c>
      <c r="D15" s="45">
        <f>'2014 Revenue Summary - B2'!S14</f>
        <v>32037181.26776934</v>
      </c>
      <c r="E15" s="135">
        <f>C15-D15</f>
        <v>1457322.1985614188</v>
      </c>
      <c r="F15" s="88">
        <v>0</v>
      </c>
      <c r="G15" s="88">
        <f>E15*$G$50/2</f>
        <v>57054.164073679545</v>
      </c>
      <c r="H15" s="151">
        <f>E15+G15</f>
        <v>1514376.3626350984</v>
      </c>
      <c r="I15" s="88">
        <f>'2013 Deferred Amount V2'!M15</f>
        <v>1670126.2727608536</v>
      </c>
      <c r="J15" s="151">
        <f>H15+I15</f>
        <v>3184502.635395952</v>
      </c>
    </row>
    <row r="16" spans="1:10" ht="12.75">
      <c r="A16">
        <f t="shared" si="0"/>
        <v>13</v>
      </c>
      <c r="B16" s="39" t="s">
        <v>3</v>
      </c>
      <c r="C16" s="45">
        <f>'2014 Revenue Summary - B'!S15</f>
        <v>57292736.910535276</v>
      </c>
      <c r="D16" s="45">
        <f>'2014 Revenue Summary - B2'!S15</f>
        <v>55115574.64673811</v>
      </c>
      <c r="E16" s="135">
        <f>C16-D16</f>
        <v>2177162.263797164</v>
      </c>
      <c r="F16" s="88">
        <v>0</v>
      </c>
      <c r="G16" s="88">
        <f>E16*$G$50/2</f>
        <v>85235.90262765896</v>
      </c>
      <c r="H16" s="151">
        <f>E16+G16</f>
        <v>2262398.166424823</v>
      </c>
      <c r="I16" s="88">
        <f>'2013 Deferred Amount V2'!M16</f>
        <v>2605578.034113201</v>
      </c>
      <c r="J16" s="151">
        <f>H16+I16</f>
        <v>4867976.200538024</v>
      </c>
    </row>
    <row r="17" spans="1:10" s="104" customFormat="1" ht="12.75">
      <c r="A17">
        <f t="shared" si="0"/>
        <v>14</v>
      </c>
      <c r="B17" s="105" t="s">
        <v>70</v>
      </c>
      <c r="C17" s="109">
        <f>'2014 Revenue Summary - B'!S16</f>
        <v>21922990.001528993</v>
      </c>
      <c r="D17" s="109">
        <f>'2014 Revenue Summary - B2'!S16</f>
        <v>21434037.83615608</v>
      </c>
      <c r="E17" s="137">
        <f>C17-D17</f>
        <v>488952.16537291184</v>
      </c>
      <c r="F17" s="107">
        <v>0</v>
      </c>
      <c r="G17" s="107">
        <f>E17*$G$50/2</f>
        <v>19142.477274349498</v>
      </c>
      <c r="H17" s="155">
        <f>E17+G17</f>
        <v>508094.6426472613</v>
      </c>
      <c r="I17" s="107">
        <f>'2013 Deferred Amount V2'!M17</f>
        <v>819863.6659522565</v>
      </c>
      <c r="J17" s="155">
        <f>H17+I17</f>
        <v>1327958.308599518</v>
      </c>
    </row>
    <row r="18" spans="1:10" s="104" customFormat="1" ht="12.75">
      <c r="A18">
        <f t="shared" si="0"/>
        <v>15</v>
      </c>
      <c r="B18" s="105" t="s">
        <v>71</v>
      </c>
      <c r="C18" s="116">
        <f>'2014 Revenue Summary - B'!S17</f>
        <v>64921417.519785345</v>
      </c>
      <c r="D18" s="116">
        <f>'2014 Revenue Summary - B2'!S17</f>
        <v>63349833.72924552</v>
      </c>
      <c r="E18" s="138">
        <f>C18-D18</f>
        <v>1571583.7905398235</v>
      </c>
      <c r="F18" s="114">
        <v>0</v>
      </c>
      <c r="G18" s="114">
        <f>E18*$G$50/2</f>
        <v>61527.50539963409</v>
      </c>
      <c r="H18" s="156">
        <f>E18+G18</f>
        <v>1633111.2959394576</v>
      </c>
      <c r="I18" s="114">
        <f>'2013 Deferred Amount V2'!M18</f>
        <v>2677052.756338057</v>
      </c>
      <c r="J18" s="156">
        <f>H18+I18</f>
        <v>4310164.052277515</v>
      </c>
    </row>
    <row r="19" spans="1:10" ht="12.75">
      <c r="A19">
        <f t="shared" si="0"/>
        <v>16</v>
      </c>
      <c r="B19" s="39" t="s">
        <v>72</v>
      </c>
      <c r="C19" s="45">
        <f>C17+C18</f>
        <v>86844407.52131434</v>
      </c>
      <c r="D19" s="45">
        <f>D17+D18</f>
        <v>84783871.5654016</v>
      </c>
      <c r="E19" s="137">
        <f>E17+E18</f>
        <v>2060535.9559127353</v>
      </c>
      <c r="F19" s="107">
        <v>0</v>
      </c>
      <c r="G19" s="107">
        <f>G17+G18</f>
        <v>80669.98267398358</v>
      </c>
      <c r="H19" s="155">
        <f>H17+H18</f>
        <v>2141205.938586719</v>
      </c>
      <c r="I19" s="107">
        <f>I17+I18</f>
        <v>3496916.4222903135</v>
      </c>
      <c r="J19" s="155">
        <f>J17+J18</f>
        <v>5638122.360877032</v>
      </c>
    </row>
    <row r="20" spans="1:10" ht="12.75">
      <c r="A20">
        <f t="shared" si="0"/>
        <v>17</v>
      </c>
      <c r="B20" s="55" t="s">
        <v>65</v>
      </c>
      <c r="C20" s="46">
        <f>'2014 Revenue Summary - B'!H19</f>
        <v>0</v>
      </c>
      <c r="D20" s="46">
        <f>database!K19</f>
        <v>0</v>
      </c>
      <c r="E20" s="136">
        <v>0</v>
      </c>
      <c r="F20" s="89">
        <v>0</v>
      </c>
      <c r="G20" s="89">
        <v>0</v>
      </c>
      <c r="H20" s="152">
        <v>0</v>
      </c>
      <c r="I20" s="89">
        <v>0</v>
      </c>
      <c r="J20" s="152">
        <v>0</v>
      </c>
    </row>
    <row r="21" spans="1:10" ht="12.75">
      <c r="A21">
        <f t="shared" si="0"/>
        <v>18</v>
      </c>
      <c r="B21" s="38" t="s">
        <v>11</v>
      </c>
      <c r="C21" s="44">
        <f aca="true" t="shared" si="2" ref="C21:J21">C15+C16+C19+C20</f>
        <v>177631647.89818037</v>
      </c>
      <c r="D21" s="44">
        <f t="shared" si="2"/>
        <v>171936627.47990906</v>
      </c>
      <c r="E21" s="134">
        <f t="shared" si="2"/>
        <v>5695020.418271318</v>
      </c>
      <c r="F21" s="87">
        <f t="shared" si="2"/>
        <v>0</v>
      </c>
      <c r="G21" s="87">
        <f t="shared" si="2"/>
        <v>222960.0493753221</v>
      </c>
      <c r="H21" s="150">
        <f t="shared" si="2"/>
        <v>5917980.46764664</v>
      </c>
      <c r="I21" s="87">
        <f t="shared" si="2"/>
        <v>7772620.729164368</v>
      </c>
      <c r="J21" s="150">
        <f t="shared" si="2"/>
        <v>13690601.19681101</v>
      </c>
    </row>
    <row r="22" spans="1:10" ht="12.75">
      <c r="A22">
        <f t="shared" si="0"/>
        <v>19</v>
      </c>
      <c r="B22" s="39"/>
      <c r="C22" s="45"/>
      <c r="D22" s="45"/>
      <c r="E22" s="135"/>
      <c r="F22" s="88"/>
      <c r="G22" s="88"/>
      <c r="H22" s="151"/>
      <c r="I22" s="88"/>
      <c r="J22" s="151"/>
    </row>
    <row r="23" spans="1:10" ht="12.75">
      <c r="A23">
        <f t="shared" si="0"/>
        <v>20</v>
      </c>
      <c r="B23" s="39" t="s">
        <v>4</v>
      </c>
      <c r="C23" s="45">
        <f>'2014 Revenue Summary - B'!S22</f>
        <v>21482620.429082107</v>
      </c>
      <c r="D23" s="45">
        <f>'2014 Revenue Summary - B2'!S22</f>
        <v>20863551.883408338</v>
      </c>
      <c r="E23" s="135">
        <f>C23-D23</f>
        <v>619068.545673769</v>
      </c>
      <c r="F23" s="88">
        <v>0</v>
      </c>
      <c r="G23" s="88">
        <f>E23*$G$50/2</f>
        <v>24236.533563128054</v>
      </c>
      <c r="H23" s="151">
        <f>E23+G23</f>
        <v>643305.079236897</v>
      </c>
      <c r="I23" s="88">
        <f>'2013 Deferred Amount V2'!M23</f>
        <v>731726.8591553195</v>
      </c>
      <c r="J23" s="151">
        <f>H23+I23</f>
        <v>1375031.9383922166</v>
      </c>
    </row>
    <row r="24" spans="1:10" ht="12.75">
      <c r="A24">
        <f t="shared" si="0"/>
        <v>21</v>
      </c>
      <c r="B24" s="55" t="s">
        <v>5</v>
      </c>
      <c r="C24" s="46">
        <f>'2014 Revenue Summary - B'!S23</f>
        <v>23989268.73110948</v>
      </c>
      <c r="D24" s="46">
        <f>'2014 Revenue Summary - B2'!S23</f>
        <v>23014246.061978836</v>
      </c>
      <c r="E24" s="136">
        <f>C24-D24</f>
        <v>975022.6691306457</v>
      </c>
      <c r="F24" s="89">
        <v>0</v>
      </c>
      <c r="G24" s="89">
        <f>E24*$G$50/2</f>
        <v>38172.13749646478</v>
      </c>
      <c r="H24" s="152">
        <f>E24+G24</f>
        <v>1013194.8066271105</v>
      </c>
      <c r="I24" s="89">
        <f>'2013 Deferred Amount V2'!M24</f>
        <v>1362939.4212966152</v>
      </c>
      <c r="J24" s="152">
        <f>H24+I24</f>
        <v>2376134.2279237257</v>
      </c>
    </row>
    <row r="25" spans="1:10" ht="12.75">
      <c r="A25">
        <f t="shared" si="0"/>
        <v>22</v>
      </c>
      <c r="B25" s="38" t="s">
        <v>23</v>
      </c>
      <c r="C25" s="44">
        <f>C23+C24</f>
        <v>45471889.16019159</v>
      </c>
      <c r="D25" s="44">
        <f>SUM(D23:D24)</f>
        <v>43877797.94538717</v>
      </c>
      <c r="E25" s="134">
        <f aca="true" t="shared" si="3" ref="E25:J25">E23+E24</f>
        <v>1594091.2148044147</v>
      </c>
      <c r="F25" s="87">
        <v>0</v>
      </c>
      <c r="G25" s="87">
        <f t="shared" si="3"/>
        <v>62408.67105959283</v>
      </c>
      <c r="H25" s="150">
        <f t="shared" si="3"/>
        <v>1656499.8858640075</v>
      </c>
      <c r="I25" s="87">
        <f t="shared" si="3"/>
        <v>2094666.2804519348</v>
      </c>
      <c r="J25" s="150">
        <f t="shared" si="3"/>
        <v>3751166.166315942</v>
      </c>
    </row>
    <row r="26" spans="1:10" ht="12.75">
      <c r="A26">
        <f t="shared" si="0"/>
        <v>23</v>
      </c>
      <c r="B26" s="39"/>
      <c r="C26" s="45"/>
      <c r="D26" s="45"/>
      <c r="E26" s="135"/>
      <c r="F26" s="88"/>
      <c r="G26" s="88"/>
      <c r="H26" s="151"/>
      <c r="I26" s="88"/>
      <c r="J26" s="151"/>
    </row>
    <row r="27" spans="1:10" ht="12.75">
      <c r="A27">
        <f t="shared" si="0"/>
        <v>24</v>
      </c>
      <c r="B27" s="56" t="s">
        <v>25</v>
      </c>
      <c r="C27" s="44">
        <f>C8+C13+C21+C25</f>
        <v>1315184987.5505319</v>
      </c>
      <c r="D27" s="44">
        <f>D8+D13+D21+D25</f>
        <v>1256937491.687661</v>
      </c>
      <c r="E27" s="134">
        <f aca="true" t="shared" si="4" ref="E27:J27">E8+E13+E21+E25</f>
        <v>58247495.86287083</v>
      </c>
      <c r="F27" s="87">
        <v>0</v>
      </c>
      <c r="G27" s="87">
        <f t="shared" si="4"/>
        <v>2280389.4630313925</v>
      </c>
      <c r="H27" s="150">
        <f t="shared" si="4"/>
        <v>60527885.32590221</v>
      </c>
      <c r="I27" s="87">
        <f>I8+I13+I21+I25</f>
        <v>62157800.312806934</v>
      </c>
      <c r="J27" s="150">
        <f t="shared" si="4"/>
        <v>122685685.63870914</v>
      </c>
    </row>
    <row r="28" spans="1:10" ht="12.75">
      <c r="A28">
        <f t="shared" si="0"/>
        <v>25</v>
      </c>
      <c r="B28" s="39"/>
      <c r="C28" s="45"/>
      <c r="D28" s="45"/>
      <c r="E28" s="135"/>
      <c r="F28" s="88"/>
      <c r="G28" s="88"/>
      <c r="H28" s="151"/>
      <c r="I28" s="88"/>
      <c r="J28" s="151"/>
    </row>
    <row r="29" spans="1:10" ht="12.75">
      <c r="A29">
        <f t="shared" si="0"/>
        <v>26</v>
      </c>
      <c r="B29" s="38" t="s">
        <v>48</v>
      </c>
      <c r="C29" s="45"/>
      <c r="D29" s="45"/>
      <c r="E29" s="135"/>
      <c r="F29" s="88"/>
      <c r="G29" s="88"/>
      <c r="H29" s="151"/>
      <c r="I29" s="88"/>
      <c r="J29" s="151"/>
    </row>
    <row r="30" spans="1:10" ht="12.75">
      <c r="A30">
        <f t="shared" si="0"/>
        <v>27</v>
      </c>
      <c r="B30" s="39" t="s">
        <v>6</v>
      </c>
      <c r="C30" s="45">
        <f>'2014 Revenue Summary - B'!S29</f>
        <v>1071642</v>
      </c>
      <c r="D30" s="45">
        <f>'2014 Revenue Summary - B2'!S29</f>
        <v>1071642</v>
      </c>
      <c r="E30" s="135">
        <f>C30-D30</f>
        <v>0</v>
      </c>
      <c r="F30" s="88">
        <v>0</v>
      </c>
      <c r="G30" s="88">
        <f>E30*$G$50/2</f>
        <v>0</v>
      </c>
      <c r="H30" s="151">
        <f>E30+G30</f>
        <v>0</v>
      </c>
      <c r="I30" s="88">
        <f>'2013 Deferred Amount V2'!M30</f>
        <v>0</v>
      </c>
      <c r="J30" s="151">
        <f>H30+I30</f>
        <v>0</v>
      </c>
    </row>
    <row r="31" spans="1:10" ht="12.75">
      <c r="A31">
        <f t="shared" si="0"/>
        <v>28</v>
      </c>
      <c r="B31" s="40" t="s">
        <v>12</v>
      </c>
      <c r="C31" s="45">
        <f>'2014 Revenue Summary - B'!S30</f>
        <v>10241381</v>
      </c>
      <c r="D31" s="45">
        <f>'2014 Revenue Summary - B2'!S30</f>
        <v>10241381</v>
      </c>
      <c r="E31" s="135">
        <f>C31-D31</f>
        <v>0</v>
      </c>
      <c r="F31" s="88">
        <v>0</v>
      </c>
      <c r="G31" s="88">
        <f>E31*$G$50/2</f>
        <v>0</v>
      </c>
      <c r="H31" s="151">
        <f>E31+G31</f>
        <v>0</v>
      </c>
      <c r="I31" s="88">
        <f>'2013 Deferred Amount V2'!M31</f>
        <v>0</v>
      </c>
      <c r="J31" s="151">
        <f>H31+I31</f>
        <v>0</v>
      </c>
    </row>
    <row r="32" spans="2:10" ht="12.75">
      <c r="B32" s="40" t="s">
        <v>78</v>
      </c>
      <c r="C32" s="45">
        <f>'2014 Revenue Summary - B'!S31</f>
        <v>21856349</v>
      </c>
      <c r="D32" s="45">
        <f>'2014 Revenue Summary - B2'!S31</f>
        <v>21856349</v>
      </c>
      <c r="E32" s="135">
        <f>C32-D32</f>
        <v>0</v>
      </c>
      <c r="F32" s="88">
        <v>0</v>
      </c>
      <c r="G32" s="88">
        <f>E32*$G$50/2</f>
        <v>0</v>
      </c>
      <c r="H32" s="151">
        <f>E32+G32</f>
        <v>0</v>
      </c>
      <c r="I32" s="88">
        <f>'2013 Deferred Amount V2'!M32</f>
        <v>0</v>
      </c>
      <c r="J32" s="151">
        <f>H32+I32</f>
        <v>0</v>
      </c>
    </row>
    <row r="33" spans="1:10" ht="12.75">
      <c r="A33">
        <f>A31+1</f>
        <v>29</v>
      </c>
      <c r="B33" s="41" t="s">
        <v>13</v>
      </c>
      <c r="C33" s="46">
        <f>'2014 Revenue Summary - B'!S32</f>
        <v>9782311</v>
      </c>
      <c r="D33" s="46">
        <f>'2014 Revenue Summary - B2'!S32</f>
        <v>9782311</v>
      </c>
      <c r="E33" s="136">
        <f>C33-D33</f>
        <v>0</v>
      </c>
      <c r="F33" s="89">
        <v>0</v>
      </c>
      <c r="G33" s="89">
        <f>E33*$G$50/2</f>
        <v>0</v>
      </c>
      <c r="H33" s="152">
        <f>E33+G33</f>
        <v>0</v>
      </c>
      <c r="I33" s="89">
        <f>'2013 Deferred Amount V2'!M33</f>
        <v>0</v>
      </c>
      <c r="J33" s="152">
        <f>H33+I33</f>
        <v>0</v>
      </c>
    </row>
    <row r="34" spans="1:10" ht="12.75">
      <c r="A34">
        <f t="shared" si="0"/>
        <v>30</v>
      </c>
      <c r="B34" s="56" t="s">
        <v>49</v>
      </c>
      <c r="C34" s="44">
        <f>SUM(C30:C33)</f>
        <v>42951683</v>
      </c>
      <c r="D34" s="44">
        <f>SUM(D30:D33)</f>
        <v>42951683</v>
      </c>
      <c r="E34" s="134">
        <f aca="true" t="shared" si="5" ref="E34:J34">E30+E31+E32+E33</f>
        <v>0</v>
      </c>
      <c r="F34" s="87">
        <v>0</v>
      </c>
      <c r="G34" s="87">
        <f t="shared" si="5"/>
        <v>0</v>
      </c>
      <c r="H34" s="150">
        <f t="shared" si="5"/>
        <v>0</v>
      </c>
      <c r="I34" s="87">
        <f t="shared" si="5"/>
        <v>0</v>
      </c>
      <c r="J34" s="150">
        <f t="shared" si="5"/>
        <v>0</v>
      </c>
    </row>
    <row r="35" spans="1:10" ht="12.75">
      <c r="A35">
        <f t="shared" si="0"/>
        <v>31</v>
      </c>
      <c r="B35" s="56"/>
      <c r="C35" s="44"/>
      <c r="D35" s="44"/>
      <c r="E35" s="134"/>
      <c r="F35" s="87"/>
      <c r="G35" s="87"/>
      <c r="H35" s="150"/>
      <c r="I35" s="87"/>
      <c r="J35" s="150"/>
    </row>
    <row r="36" spans="1:10" ht="12.75">
      <c r="A36">
        <f t="shared" si="0"/>
        <v>32</v>
      </c>
      <c r="B36" s="83" t="s">
        <v>100</v>
      </c>
      <c r="C36" s="45">
        <f>'2014 Revenue Summary - B'!S35</f>
        <v>4340815.390551678</v>
      </c>
      <c r="D36" s="45">
        <f>'2014 Revenue Summary - B2'!S35</f>
        <v>3603687.78</v>
      </c>
      <c r="E36" s="135">
        <f>C36-D36</f>
        <v>737127.6105516781</v>
      </c>
      <c r="F36" s="88">
        <v>0</v>
      </c>
      <c r="G36" s="88">
        <f>E36*$G$50/2</f>
        <v>28858.545953098197</v>
      </c>
      <c r="H36" s="151">
        <f>E36+G36</f>
        <v>765986.1565047763</v>
      </c>
      <c r="I36" s="88">
        <f>'2013 Deferred Amount V2'!M36</f>
        <v>392847.6381838365</v>
      </c>
      <c r="J36" s="151">
        <f>H36+I36</f>
        <v>1158833.7946886127</v>
      </c>
    </row>
    <row r="37" spans="1:10" ht="12.75">
      <c r="A37">
        <f t="shared" si="0"/>
        <v>33</v>
      </c>
      <c r="B37" s="39"/>
      <c r="C37" s="45"/>
      <c r="D37" s="45"/>
      <c r="E37" s="135"/>
      <c r="F37" s="88"/>
      <c r="G37" s="88"/>
      <c r="H37" s="151"/>
      <c r="I37" s="88"/>
      <c r="J37" s="151"/>
    </row>
    <row r="38" spans="1:10" ht="12.75">
      <c r="A38">
        <f t="shared" si="0"/>
        <v>34</v>
      </c>
      <c r="B38" s="37"/>
      <c r="C38" s="47"/>
      <c r="D38" s="47"/>
      <c r="E38" s="139"/>
      <c r="F38" s="90"/>
      <c r="G38" s="90"/>
      <c r="H38" s="157"/>
      <c r="I38" s="90"/>
      <c r="J38" s="157"/>
    </row>
    <row r="39" spans="1:10" ht="12.75">
      <c r="A39">
        <f t="shared" si="0"/>
        <v>35</v>
      </c>
      <c r="B39" s="38" t="s">
        <v>15</v>
      </c>
      <c r="C39" s="44">
        <f>C27+C34+C36</f>
        <v>1362477485.9410834</v>
      </c>
      <c r="D39" s="44">
        <f>D27+D34+D36</f>
        <v>1303492862.467661</v>
      </c>
      <c r="E39" s="134">
        <f>E27+E34+E36</f>
        <v>58984623.473422505</v>
      </c>
      <c r="F39" s="87">
        <v>0</v>
      </c>
      <c r="G39" s="87">
        <f>G27+G34+G36</f>
        <v>2309248.0089844908</v>
      </c>
      <c r="H39" s="150">
        <f>H27+H34+H36</f>
        <v>61293871.48240699</v>
      </c>
      <c r="I39" s="87">
        <f>I27+I36</f>
        <v>62550647.950990774</v>
      </c>
      <c r="J39" s="150">
        <f>J27+J36</f>
        <v>123844519.43339776</v>
      </c>
    </row>
    <row r="40" spans="1:10" ht="12.75">
      <c r="A40">
        <f t="shared" si="0"/>
        <v>36</v>
      </c>
      <c r="B40" s="39"/>
      <c r="C40" s="45"/>
      <c r="D40" s="45"/>
      <c r="E40" s="135"/>
      <c r="F40" s="88"/>
      <c r="G40" s="88"/>
      <c r="H40" s="151"/>
      <c r="I40" s="88"/>
      <c r="J40" s="151"/>
    </row>
    <row r="41" spans="1:10" ht="12.75">
      <c r="A41">
        <f t="shared" si="0"/>
        <v>37</v>
      </c>
      <c r="B41" s="24" t="s">
        <v>16</v>
      </c>
      <c r="C41" s="45">
        <f>'2014 Revenue Summary - B'!S40</f>
        <v>1943419</v>
      </c>
      <c r="D41" s="45">
        <f>'2014 Revenue Summary - B2'!S40</f>
        <v>1943419</v>
      </c>
      <c r="E41" s="135">
        <f>C41-D41</f>
        <v>0</v>
      </c>
      <c r="F41" s="88">
        <v>0</v>
      </c>
      <c r="G41" s="88">
        <f>E41*$G$50/2</f>
        <v>0</v>
      </c>
      <c r="H41" s="151">
        <f>E41+G41</f>
        <v>0</v>
      </c>
      <c r="I41" s="88">
        <f>'2013 Deferred Amount V2'!M41</f>
        <v>0</v>
      </c>
      <c r="J41" s="151">
        <f>H41+I41</f>
        <v>0</v>
      </c>
    </row>
    <row r="42" spans="1:10" ht="12.75">
      <c r="A42">
        <f t="shared" si="0"/>
        <v>38</v>
      </c>
      <c r="B42" s="24"/>
      <c r="C42" s="45"/>
      <c r="D42" s="45"/>
      <c r="E42" s="135"/>
      <c r="F42" s="88"/>
      <c r="G42" s="88"/>
      <c r="H42" s="151"/>
      <c r="I42" s="88"/>
      <c r="J42" s="151"/>
    </row>
    <row r="43" spans="1:10" ht="12.75">
      <c r="A43">
        <f t="shared" si="0"/>
        <v>39</v>
      </c>
      <c r="B43" s="37" t="s">
        <v>17</v>
      </c>
      <c r="C43" s="44">
        <f>C39+C41</f>
        <v>1364420904.9410834</v>
      </c>
      <c r="D43" s="44">
        <f>D39+D41</f>
        <v>1305436281.467661</v>
      </c>
      <c r="E43" s="134">
        <f>E39+E41</f>
        <v>58984623.473422505</v>
      </c>
      <c r="F43" s="87">
        <v>0</v>
      </c>
      <c r="G43" s="87">
        <f>G39+G41</f>
        <v>2309248.0089844908</v>
      </c>
      <c r="H43" s="150">
        <f>H39+H41</f>
        <v>61293871.48240699</v>
      </c>
      <c r="I43" s="87">
        <f>I39+I41</f>
        <v>62550647.950990774</v>
      </c>
      <c r="J43" s="150">
        <f>J39+J41</f>
        <v>123844519.43339776</v>
      </c>
    </row>
    <row r="44" spans="1:10" ht="12.75">
      <c r="A44">
        <f t="shared" si="0"/>
        <v>40</v>
      </c>
      <c r="B44" s="24"/>
      <c r="C44" s="45"/>
      <c r="D44" s="45"/>
      <c r="E44" s="135"/>
      <c r="F44" s="88"/>
      <c r="G44" s="88"/>
      <c r="H44" s="151"/>
      <c r="I44" s="88"/>
      <c r="J44" s="151"/>
    </row>
    <row r="45" spans="1:10" ht="12.75">
      <c r="A45">
        <f t="shared" si="0"/>
        <v>41</v>
      </c>
      <c r="B45" s="39" t="s">
        <v>37</v>
      </c>
      <c r="C45" s="45">
        <f>'2014 Revenue Summary - B'!S44</f>
        <v>23479095.05891397</v>
      </c>
      <c r="D45" s="45">
        <f>'2014 Revenue Summary - B2'!S44</f>
        <v>23190142.53484923</v>
      </c>
      <c r="E45" s="135">
        <f>C45-D45</f>
        <v>288952.5240647383</v>
      </c>
      <c r="F45" s="88">
        <v>0</v>
      </c>
      <c r="G45" s="88">
        <f>E45*$G$50/2</f>
        <v>11312.491317134503</v>
      </c>
      <c r="H45" s="151">
        <f>E45+G45</f>
        <v>300265.0153818728</v>
      </c>
      <c r="I45" s="88">
        <f>'2013 Deferred Amount V2'!M45</f>
        <v>298713.5854506382</v>
      </c>
      <c r="J45" s="151">
        <f>H45+I45</f>
        <v>598978.600832511</v>
      </c>
    </row>
    <row r="46" spans="1:10" ht="12.75">
      <c r="A46">
        <f t="shared" si="0"/>
        <v>42</v>
      </c>
      <c r="B46" s="24"/>
      <c r="C46" s="45"/>
      <c r="D46" s="45"/>
      <c r="E46" s="135"/>
      <c r="F46" s="88"/>
      <c r="G46" s="88"/>
      <c r="H46" s="151"/>
      <c r="I46" s="88"/>
      <c r="J46" s="151"/>
    </row>
    <row r="47" spans="1:10" ht="12.75">
      <c r="A47">
        <f t="shared" si="0"/>
        <v>43</v>
      </c>
      <c r="B47" s="36" t="s">
        <v>35</v>
      </c>
      <c r="C47" s="44">
        <f>C43+C45</f>
        <v>1387899999.9999974</v>
      </c>
      <c r="D47" s="44">
        <f>D43+D45</f>
        <v>1328626424.00251</v>
      </c>
      <c r="E47" s="139">
        <f>E43+E45</f>
        <v>59273575.99748725</v>
      </c>
      <c r="F47" s="90">
        <v>0</v>
      </c>
      <c r="G47" s="90">
        <f>G43+G45</f>
        <v>2320560.500301625</v>
      </c>
      <c r="H47" s="157">
        <f>H43+H45</f>
        <v>61594136.49778886</v>
      </c>
      <c r="I47" s="90">
        <f>I43+I45</f>
        <v>62849361.536441416</v>
      </c>
      <c r="J47" s="157">
        <f>J43+J45</f>
        <v>124443498.03423026</v>
      </c>
    </row>
    <row r="48" spans="1:10" ht="12.75">
      <c r="A48">
        <f t="shared" si="0"/>
        <v>44</v>
      </c>
      <c r="B48" s="42"/>
      <c r="C48" s="8"/>
      <c r="D48" s="8"/>
      <c r="E48" s="165"/>
      <c r="F48" s="81"/>
      <c r="G48" s="81"/>
      <c r="H48" s="158"/>
      <c r="I48" s="81"/>
      <c r="J48" s="158"/>
    </row>
    <row r="49" spans="1:10" ht="13.5" thickBot="1">
      <c r="A49">
        <f t="shared" si="0"/>
        <v>45</v>
      </c>
      <c r="C49" s="91"/>
      <c r="E49" s="96"/>
      <c r="F49" s="96"/>
      <c r="G49" s="96"/>
      <c r="H49" s="96"/>
      <c r="I49" s="96"/>
      <c r="J49" s="96"/>
    </row>
    <row r="50" spans="1:10" ht="13.5" thickBot="1">
      <c r="A50">
        <f t="shared" si="0"/>
        <v>46</v>
      </c>
      <c r="B50" t="s">
        <v>99</v>
      </c>
      <c r="C50" s="131"/>
      <c r="D50" s="65"/>
      <c r="E50" s="85"/>
      <c r="F50" s="96"/>
      <c r="G50" s="147">
        <v>0.0783</v>
      </c>
      <c r="H50" s="85"/>
      <c r="I50" s="85"/>
      <c r="J50" s="85"/>
    </row>
    <row r="51" spans="1:10" ht="12.75">
      <c r="A51">
        <f t="shared" si="0"/>
        <v>47</v>
      </c>
      <c r="B51" t="s">
        <v>102</v>
      </c>
      <c r="C51" s="98"/>
      <c r="D51" s="65"/>
      <c r="E51" s="85"/>
      <c r="F51" s="85"/>
      <c r="G51" s="85"/>
      <c r="H51" s="85"/>
      <c r="I51" s="85"/>
      <c r="J51" s="85"/>
    </row>
    <row r="52" spans="3:10" ht="12.75">
      <c r="C52" s="99"/>
      <c r="D52" s="99"/>
      <c r="E52" s="85"/>
      <c r="F52" s="85"/>
      <c r="G52" s="85"/>
      <c r="H52" s="85"/>
      <c r="I52" s="85"/>
      <c r="J52" s="85"/>
    </row>
    <row r="53" spans="2:10" ht="12.75">
      <c r="B53" s="95"/>
      <c r="C53" s="99"/>
      <c r="D53" s="99"/>
      <c r="E53" s="85"/>
      <c r="F53" s="85"/>
      <c r="G53" s="85"/>
      <c r="H53" s="85"/>
      <c r="I53" s="85"/>
      <c r="J53" s="85"/>
    </row>
    <row r="54" spans="2:10" ht="12.75">
      <c r="B54" s="95"/>
      <c r="C54" s="91"/>
      <c r="E54" s="85"/>
      <c r="F54" s="85"/>
      <c r="G54" s="85"/>
      <c r="H54" s="85"/>
      <c r="I54" s="85"/>
      <c r="J54" s="85"/>
    </row>
    <row r="55" spans="2:10" ht="12.75">
      <c r="B55" s="95"/>
      <c r="C55" s="91"/>
      <c r="E55" s="85"/>
      <c r="F55" s="85"/>
      <c r="G55" s="85"/>
      <c r="H55" s="85"/>
      <c r="I55" s="85"/>
      <c r="J55" s="85"/>
    </row>
    <row r="56" spans="3:10" ht="12.75">
      <c r="C56" s="91"/>
      <c r="E56" s="85"/>
      <c r="F56" s="85"/>
      <c r="G56" s="85"/>
      <c r="H56" s="85"/>
      <c r="I56" s="85"/>
      <c r="J56" s="85"/>
    </row>
    <row r="57" spans="3:10" ht="12.75">
      <c r="C57" s="91"/>
      <c r="E57" s="85"/>
      <c r="F57" s="85"/>
      <c r="G57" s="85"/>
      <c r="H57" s="85"/>
      <c r="I57" s="85"/>
      <c r="J57" s="85"/>
    </row>
    <row r="58" spans="5:10" ht="12.75">
      <c r="E58" s="85"/>
      <c r="F58" s="85"/>
      <c r="G58" s="85"/>
      <c r="H58" s="85"/>
      <c r="I58" s="85"/>
      <c r="J58" s="85"/>
    </row>
    <row r="59" spans="5:10" ht="12.75">
      <c r="E59" s="85"/>
      <c r="F59" s="85"/>
      <c r="G59" s="85"/>
      <c r="H59" s="85"/>
      <c r="I59" s="85"/>
      <c r="J59" s="85"/>
    </row>
    <row r="60" spans="5:10" ht="12.75">
      <c r="E60" s="85"/>
      <c r="F60" s="85"/>
      <c r="G60" s="85"/>
      <c r="H60" s="85"/>
      <c r="I60" s="85"/>
      <c r="J60" s="85"/>
    </row>
    <row r="61" spans="5:10" ht="12.75">
      <c r="E61" s="85"/>
      <c r="F61" s="85"/>
      <c r="G61" s="85"/>
      <c r="H61" s="85"/>
      <c r="I61" s="85"/>
      <c r="J61" s="85"/>
    </row>
    <row r="62" spans="5:10" ht="12.75">
      <c r="E62" s="85"/>
      <c r="F62" s="85"/>
      <c r="G62" s="85"/>
      <c r="H62" s="85"/>
      <c r="I62" s="85"/>
      <c r="J62" s="85"/>
    </row>
    <row r="63" spans="5:10" ht="12.75">
      <c r="E63" s="85"/>
      <c r="F63" s="85"/>
      <c r="G63" s="85"/>
      <c r="H63" s="85"/>
      <c r="I63" s="85"/>
      <c r="J63" s="85"/>
    </row>
    <row r="64" spans="5:10" ht="12.75">
      <c r="E64" s="85"/>
      <c r="F64" s="85"/>
      <c r="G64" s="85"/>
      <c r="H64" s="85"/>
      <c r="I64" s="85"/>
      <c r="J64" s="85"/>
    </row>
    <row r="65" spans="5:10" ht="12.75">
      <c r="E65" s="85"/>
      <c r="F65" s="85"/>
      <c r="G65" s="85"/>
      <c r="H65" s="85"/>
      <c r="I65" s="85"/>
      <c r="J65" s="85"/>
    </row>
    <row r="66" spans="5:10" ht="12.75">
      <c r="E66" s="85"/>
      <c r="F66" s="85"/>
      <c r="G66" s="85"/>
      <c r="H66" s="85"/>
      <c r="I66" s="85"/>
      <c r="J66" s="85"/>
    </row>
    <row r="67" spans="5:10" ht="12.75">
      <c r="E67" s="85"/>
      <c r="F67" s="85"/>
      <c r="G67" s="85"/>
      <c r="H67" s="85"/>
      <c r="I67" s="85"/>
      <c r="J67" s="85"/>
    </row>
  </sheetData>
  <sheetProtection/>
  <mergeCells count="2">
    <mergeCell ref="B2:J2"/>
    <mergeCell ref="E3:J3"/>
  </mergeCells>
  <printOptions/>
  <pageMargins left="0.2" right="0.2" top="0.23" bottom="0.23" header="0.17" footer="0.17"/>
  <pageSetup fitToHeight="1" fitToWidth="1" horizontalDpi="600" verticalDpi="600" orientation="landscape" paperSize="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zoomScalePageLayoutView="0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1" sqref="A1:M51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customWidth="1"/>
    <col min="4" max="4" width="16.421875" style="0" customWidth="1"/>
    <col min="5" max="5" width="13.421875" style="0" customWidth="1"/>
    <col min="6" max="6" width="12.7109375" style="0" customWidth="1"/>
    <col min="7" max="7" width="17.00390625" style="0" customWidth="1"/>
    <col min="8" max="8" width="14.421875" style="0" customWidth="1"/>
    <col min="9" max="9" width="14.421875" style="0" bestFit="1" customWidth="1"/>
    <col min="10" max="11" width="12.140625" style="0" customWidth="1"/>
    <col min="12" max="12" width="11.7109375" style="0" bestFit="1" customWidth="1"/>
    <col min="13" max="13" width="18.7109375" style="0" customWidth="1"/>
    <col min="15" max="15" width="14.421875" style="0" bestFit="1" customWidth="1"/>
  </cols>
  <sheetData>
    <row r="2" spans="2:13" ht="18">
      <c r="B2" s="178" t="s">
        <v>130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0"/>
    </row>
    <row r="3" spans="1:13" ht="72.75" customHeight="1">
      <c r="A3">
        <v>1</v>
      </c>
      <c r="B3" s="53" t="s">
        <v>20</v>
      </c>
      <c r="C3" s="72" t="s">
        <v>77</v>
      </c>
      <c r="D3" s="73" t="s">
        <v>74</v>
      </c>
      <c r="E3" s="73" t="s">
        <v>63</v>
      </c>
      <c r="F3" s="73" t="s">
        <v>64</v>
      </c>
      <c r="G3" s="73" t="s">
        <v>93</v>
      </c>
      <c r="H3" s="160" t="s">
        <v>113</v>
      </c>
      <c r="I3" s="160" t="s">
        <v>114</v>
      </c>
      <c r="J3" s="174" t="s">
        <v>128</v>
      </c>
      <c r="K3" s="175"/>
      <c r="L3" s="175"/>
      <c r="M3" s="176"/>
    </row>
    <row r="4" spans="1:13" ht="20.25">
      <c r="A4">
        <f>A3+1</f>
        <v>2</v>
      </c>
      <c r="B4" s="101" t="s">
        <v>66</v>
      </c>
      <c r="C4" s="101" t="s">
        <v>27</v>
      </c>
      <c r="D4" s="102" t="s">
        <v>31</v>
      </c>
      <c r="E4" s="102" t="s">
        <v>28</v>
      </c>
      <c r="F4" s="102" t="s">
        <v>29</v>
      </c>
      <c r="G4" s="121" t="s">
        <v>30</v>
      </c>
      <c r="H4" s="142" t="s">
        <v>120</v>
      </c>
      <c r="I4" s="101" t="s">
        <v>31</v>
      </c>
      <c r="J4" s="101" t="s">
        <v>28</v>
      </c>
      <c r="K4" s="102" t="s">
        <v>29</v>
      </c>
      <c r="L4" s="102" t="s">
        <v>30</v>
      </c>
      <c r="M4" s="143" t="s">
        <v>52</v>
      </c>
    </row>
    <row r="5" spans="2:13" ht="20.25">
      <c r="B5" s="101" t="s">
        <v>117</v>
      </c>
      <c r="C5" s="101"/>
      <c r="D5" s="102"/>
      <c r="E5" s="102"/>
      <c r="F5" s="102"/>
      <c r="G5" s="121"/>
      <c r="H5" s="142"/>
      <c r="I5" s="101"/>
      <c r="J5" s="153" t="s">
        <v>121</v>
      </c>
      <c r="K5" s="154"/>
      <c r="L5" s="102"/>
      <c r="M5" s="163" t="s">
        <v>124</v>
      </c>
    </row>
    <row r="6" spans="1:13" ht="89.25">
      <c r="A6">
        <f>A4+1</f>
        <v>3</v>
      </c>
      <c r="B6" s="58"/>
      <c r="C6" s="59"/>
      <c r="D6" s="69"/>
      <c r="E6" s="69"/>
      <c r="F6" s="69"/>
      <c r="G6" s="69"/>
      <c r="H6" s="75" t="s">
        <v>32</v>
      </c>
      <c r="I6" s="75" t="s">
        <v>32</v>
      </c>
      <c r="J6" s="75" t="s">
        <v>110</v>
      </c>
      <c r="K6" s="80" t="s">
        <v>129</v>
      </c>
      <c r="L6" s="80" t="s">
        <v>127</v>
      </c>
      <c r="M6" s="168" t="s">
        <v>122</v>
      </c>
    </row>
    <row r="7" spans="1:13" ht="12.75">
      <c r="A7">
        <f aca="true" t="shared" si="0" ref="A7:A51">A6+1</f>
        <v>4</v>
      </c>
      <c r="B7" s="37" t="s">
        <v>21</v>
      </c>
      <c r="C7" s="12"/>
      <c r="D7" s="11"/>
      <c r="E7" s="70"/>
      <c r="F7" s="70"/>
      <c r="G7" s="11"/>
      <c r="H7" s="43"/>
      <c r="I7" s="33"/>
      <c r="J7" s="33"/>
      <c r="K7" s="1"/>
      <c r="L7" s="1"/>
      <c r="M7" s="34"/>
    </row>
    <row r="8" spans="1:15" ht="12.75">
      <c r="A8">
        <f t="shared" si="0"/>
        <v>5</v>
      </c>
      <c r="B8" s="38" t="s">
        <v>8</v>
      </c>
      <c r="C8" s="17">
        <v>4273.208828</v>
      </c>
      <c r="D8" s="87">
        <f>database!E7</f>
        <v>588717083.202889</v>
      </c>
      <c r="E8" s="87">
        <f>database!B7</f>
        <v>15729855.39635859</v>
      </c>
      <c r="F8" s="87">
        <f>database!C7</f>
        <v>13940592.104265573</v>
      </c>
      <c r="G8" s="18">
        <f>D8+E8+F8</f>
        <v>618387530.7035131</v>
      </c>
      <c r="H8" s="44">
        <f>'2013 Revenue Summary - B'!S7</f>
        <v>668084917.7028952</v>
      </c>
      <c r="I8" s="44">
        <f>'2013 Revenue Summary - B2'!S7</f>
        <v>636939156.6246185</v>
      </c>
      <c r="J8" s="44">
        <f>H8-I8</f>
        <v>31145761.078276634</v>
      </c>
      <c r="K8" s="18">
        <v>0</v>
      </c>
      <c r="L8" s="18">
        <f>(J8*(1+$L$56/2))*(1+$L$57)-J8</f>
        <v>3741790.690252438</v>
      </c>
      <c r="M8" s="49">
        <f>J8+L8</f>
        <v>34887551.76852907</v>
      </c>
      <c r="O8" s="74"/>
    </row>
    <row r="9" spans="1:15" ht="12.75">
      <c r="A9">
        <f t="shared" si="0"/>
        <v>6</v>
      </c>
      <c r="B9" s="39"/>
      <c r="C9" s="19"/>
      <c r="D9" s="88"/>
      <c r="E9" s="88"/>
      <c r="F9" s="88"/>
      <c r="G9" s="20"/>
      <c r="H9" s="45"/>
      <c r="I9" s="45"/>
      <c r="J9" s="45"/>
      <c r="K9" s="20"/>
      <c r="L9" s="20"/>
      <c r="M9" s="50"/>
      <c r="O9" s="74"/>
    </row>
    <row r="10" spans="1:15" ht="12.75">
      <c r="A10">
        <f t="shared" si="0"/>
        <v>7</v>
      </c>
      <c r="B10" s="54" t="s">
        <v>0</v>
      </c>
      <c r="C10" s="19">
        <v>231.27671</v>
      </c>
      <c r="D10" s="88">
        <f>database!E9</f>
        <v>31454191.894843403</v>
      </c>
      <c r="E10" s="88">
        <f>database!B9</f>
        <v>836569.9890911216</v>
      </c>
      <c r="F10" s="88">
        <f>database!C9</f>
        <v>784960.1308079566</v>
      </c>
      <c r="G10" s="20">
        <f>D10+E10+F10</f>
        <v>33075722.01474248</v>
      </c>
      <c r="H10" s="45">
        <f>'2013 Revenue Summary - B'!S9</f>
        <v>35741793.88711101</v>
      </c>
      <c r="I10" s="45">
        <f>'2013 Revenue Summary - B2'!S9</f>
        <v>34067993.67518476</v>
      </c>
      <c r="J10" s="45">
        <f>H10-I10</f>
        <v>1673800.2119262516</v>
      </c>
      <c r="K10" s="20">
        <v>0</v>
      </c>
      <c r="L10" s="20">
        <f>(J10*(1+$L$56/2))*(1+$L$57)-J10</f>
        <v>201087.07681240444</v>
      </c>
      <c r="M10" s="50">
        <f>J10+L10</f>
        <v>1874887.288738656</v>
      </c>
      <c r="O10" s="74"/>
    </row>
    <row r="11" spans="1:15" ht="12.75">
      <c r="A11">
        <f t="shared" si="0"/>
        <v>8</v>
      </c>
      <c r="B11" s="39" t="s">
        <v>9</v>
      </c>
      <c r="C11" s="19">
        <v>2435.294956</v>
      </c>
      <c r="D11" s="88">
        <f>database!E10</f>
        <v>275984112.15196776</v>
      </c>
      <c r="E11" s="88">
        <f>database!B10</f>
        <v>9236100.686004808</v>
      </c>
      <c r="F11" s="88">
        <f>database!C10</f>
        <v>9197988.818109112</v>
      </c>
      <c r="G11" s="20">
        <f>D11+E11+F11</f>
        <v>294418201.6560817</v>
      </c>
      <c r="H11" s="45">
        <f>'2013 Revenue Summary - B'!S10</f>
        <v>315426844.11778</v>
      </c>
      <c r="I11" s="45">
        <f>'2013 Revenue Summary - B2'!S10</f>
        <v>303250747.7057641</v>
      </c>
      <c r="J11" s="45">
        <f>H11-I11</f>
        <v>12176096.412015915</v>
      </c>
      <c r="K11" s="20">
        <v>0</v>
      </c>
      <c r="L11" s="20">
        <f>(J11*(1+$L$56/2))*(1+$L$57)-J11</f>
        <v>1462812.3577906229</v>
      </c>
      <c r="M11" s="50">
        <f>J11+L11</f>
        <v>13638908.769806538</v>
      </c>
      <c r="O11" s="74"/>
    </row>
    <row r="12" spans="1:13" ht="12.75">
      <c r="A12">
        <f t="shared" si="0"/>
        <v>9</v>
      </c>
      <c r="B12" s="55" t="s">
        <v>1</v>
      </c>
      <c r="C12" s="21">
        <v>396.294927</v>
      </c>
      <c r="D12" s="89">
        <f>database!E11</f>
        <v>37795518.90171224</v>
      </c>
      <c r="E12" s="89">
        <f>database!B11</f>
        <v>1348849.6986629148</v>
      </c>
      <c r="F12" s="89">
        <f>database!C11</f>
        <v>1443409.955574371</v>
      </c>
      <c r="G12" s="22">
        <f>D12+E12+F12</f>
        <v>40587778.555949524</v>
      </c>
      <c r="H12" s="144">
        <f>'2013 Revenue Summary - B'!S11</f>
        <v>43491958.9350971</v>
      </c>
      <c r="I12" s="144">
        <f>'2013 Revenue Summary - B2'!S11</f>
        <v>41805411.91262801</v>
      </c>
      <c r="J12" s="45">
        <f>H12-I12</f>
        <v>1686547.0224690884</v>
      </c>
      <c r="K12" s="94">
        <v>0</v>
      </c>
      <c r="L12" s="94">
        <f>(J12*(1+$L$56/2))*(1+$L$57)-J12</f>
        <v>202618.4536472722</v>
      </c>
      <c r="M12" s="164">
        <f>J12+L12</f>
        <v>1889165.4761163606</v>
      </c>
    </row>
    <row r="13" spans="1:13" ht="12.75">
      <c r="A13">
        <f t="shared" si="0"/>
        <v>10</v>
      </c>
      <c r="B13" s="38" t="s">
        <v>10</v>
      </c>
      <c r="C13" s="17">
        <f aca="true" t="shared" si="1" ref="C13:I13">SUM(C10:C12)</f>
        <v>3062.866593</v>
      </c>
      <c r="D13" s="87">
        <f t="shared" si="1"/>
        <v>345233822.9485234</v>
      </c>
      <c r="E13" s="87">
        <f t="shared" si="1"/>
        <v>11421520.373758845</v>
      </c>
      <c r="F13" s="87">
        <f t="shared" si="1"/>
        <v>11426358.90449144</v>
      </c>
      <c r="G13" s="18">
        <f t="shared" si="1"/>
        <v>368081702.2267737</v>
      </c>
      <c r="H13" s="44">
        <f>SUM(H10:H12)</f>
        <v>394660596.93998814</v>
      </c>
      <c r="I13" s="44">
        <f t="shared" si="1"/>
        <v>379124153.2935769</v>
      </c>
      <c r="J13" s="44">
        <f>SUM(J10:J12)</f>
        <v>15536443.646411255</v>
      </c>
      <c r="K13" s="18">
        <v>0</v>
      </c>
      <c r="L13" s="18">
        <f>SUM(L10:L12)</f>
        <v>1866517.8882502995</v>
      </c>
      <c r="M13" s="49">
        <f>SUM(M10:M12)</f>
        <v>17402961.534661554</v>
      </c>
    </row>
    <row r="14" spans="1:13" ht="12.75">
      <c r="A14">
        <f t="shared" si="0"/>
        <v>11</v>
      </c>
      <c r="B14" s="39"/>
      <c r="C14" s="19"/>
      <c r="D14" s="88"/>
      <c r="E14" s="88"/>
      <c r="F14" s="88"/>
      <c r="G14" s="20"/>
      <c r="H14" s="45"/>
      <c r="I14" s="45"/>
      <c r="J14" s="45"/>
      <c r="K14" s="20"/>
      <c r="L14" s="20"/>
      <c r="M14" s="50"/>
    </row>
    <row r="15" spans="1:13" ht="12.75">
      <c r="A15">
        <f t="shared" si="0"/>
        <v>12</v>
      </c>
      <c r="B15" s="39" t="s">
        <v>2</v>
      </c>
      <c r="C15" s="19">
        <v>258.161462</v>
      </c>
      <c r="D15" s="88">
        <f>database!E14</f>
        <v>28459581.73596959</v>
      </c>
      <c r="E15" s="88">
        <f>database!B14</f>
        <v>834756.6549771931</v>
      </c>
      <c r="F15" s="88">
        <f>database!C14</f>
        <v>876178.2414095479</v>
      </c>
      <c r="G15" s="20">
        <f>D15+E15+F15</f>
        <v>30170516.63235633</v>
      </c>
      <c r="H15" s="45">
        <f>'2013 Revenue Summary - B'!S14</f>
        <v>32566632.537634846</v>
      </c>
      <c r="I15" s="45">
        <f>'2013 Revenue Summary - B2'!S14</f>
        <v>31075632.13132702</v>
      </c>
      <c r="J15" s="45">
        <f>H15-I15</f>
        <v>1491000.4063078277</v>
      </c>
      <c r="K15" s="20">
        <v>0</v>
      </c>
      <c r="L15" s="20">
        <f>(J15*(1+$L$56/2))*(1+$L$57)-J15</f>
        <v>179125.86645302596</v>
      </c>
      <c r="M15" s="50">
        <f>J15+L15</f>
        <v>1670126.2727608536</v>
      </c>
    </row>
    <row r="16" spans="1:14" ht="12.75">
      <c r="A16">
        <f t="shared" si="0"/>
        <v>13</v>
      </c>
      <c r="B16" s="39" t="s">
        <v>3</v>
      </c>
      <c r="C16" s="19">
        <v>498.772236</v>
      </c>
      <c r="D16" s="88">
        <f>database!E15</f>
        <v>47959530.119432814</v>
      </c>
      <c r="E16" s="88">
        <f>database!B15</f>
        <v>1569891.0792160828</v>
      </c>
      <c r="F16" s="88">
        <f>database!C15</f>
        <v>1659488.167918161</v>
      </c>
      <c r="G16" s="20">
        <f>D16+E16+F16</f>
        <v>51188909.36656706</v>
      </c>
      <c r="H16" s="45">
        <f>'2013 Revenue Summary - B'!S15</f>
        <v>55050698.91202462</v>
      </c>
      <c r="I16" s="45">
        <f>'2013 Revenue Summary - B2'!S15</f>
        <v>52724576.64756407</v>
      </c>
      <c r="J16" s="45">
        <f>H16-I16</f>
        <v>2326122.2644605488</v>
      </c>
      <c r="K16" s="20">
        <v>0</v>
      </c>
      <c r="L16" s="20">
        <f>(J16*(1+$L$56/2))*(1+$L$57)-J16</f>
        <v>279455.7696526521</v>
      </c>
      <c r="M16" s="50">
        <f>J16+L16</f>
        <v>2605578.034113201</v>
      </c>
      <c r="N16" s="161"/>
    </row>
    <row r="17" spans="1:14" s="104" customFormat="1" ht="12.75">
      <c r="A17">
        <f t="shared" si="0"/>
        <v>14</v>
      </c>
      <c r="B17" s="105" t="s">
        <v>70</v>
      </c>
      <c r="C17" s="106">
        <v>224.839215</v>
      </c>
      <c r="D17" s="107">
        <f>database!E16</f>
        <v>18598529.043499067</v>
      </c>
      <c r="E17" s="107">
        <f>database!B16</f>
        <v>721582.606791599</v>
      </c>
      <c r="F17" s="107">
        <f>database!C16</f>
        <v>796880.0733422372</v>
      </c>
      <c r="G17" s="108">
        <f>D17+E17+F17</f>
        <v>20116991.723632906</v>
      </c>
      <c r="H17" s="45">
        <f>'2013 Revenue Summary - B'!S16</f>
        <v>21340065.83578049</v>
      </c>
      <c r="I17" s="45">
        <f>'2013 Revenue Summary - B2'!S16</f>
        <v>20608134.915951844</v>
      </c>
      <c r="J17" s="45">
        <f>H17-I17</f>
        <v>731930.9198286459</v>
      </c>
      <c r="K17" s="20">
        <v>0</v>
      </c>
      <c r="L17" s="20">
        <f>(J17*(1+$L$56/2))*(1+$L$57)-J17</f>
        <v>87932.74612361065</v>
      </c>
      <c r="M17" s="50">
        <f>J17+L17</f>
        <v>819863.6659522565</v>
      </c>
      <c r="N17" s="162"/>
    </row>
    <row r="18" spans="1:14" s="104" customFormat="1" ht="12.75">
      <c r="A18">
        <f t="shared" si="0"/>
        <v>15</v>
      </c>
      <c r="B18" s="105" t="s">
        <v>71</v>
      </c>
      <c r="C18" s="113">
        <v>696.586409</v>
      </c>
      <c r="D18" s="114">
        <f>database!E17</f>
        <v>55222022.54854539</v>
      </c>
      <c r="E18" s="114">
        <f>database!B17</f>
        <v>2153715.374189236</v>
      </c>
      <c r="F18" s="114">
        <f>database!C17</f>
        <v>2378456.53316571</v>
      </c>
      <c r="G18" s="115">
        <f>D18+E18+F18</f>
        <v>59754194.455900334</v>
      </c>
      <c r="H18" s="144">
        <f>'2013 Revenue Summary - B'!S17</f>
        <v>64049117.965259165</v>
      </c>
      <c r="I18" s="144">
        <f>'2013 Revenue Summary - B2'!S17</f>
        <v>61659186.84896741</v>
      </c>
      <c r="J18" s="45">
        <f>H18-I18</f>
        <v>2389931.116291754</v>
      </c>
      <c r="K18" s="94">
        <v>0</v>
      </c>
      <c r="L18" s="94">
        <f>(J18*(1+$L$56/2))*(1+$L$57)-J18</f>
        <v>287121.64004630316</v>
      </c>
      <c r="M18" s="164">
        <f>J18+L18</f>
        <v>2677052.756338057</v>
      </c>
      <c r="N18" s="162"/>
    </row>
    <row r="19" spans="1:14" ht="12.75">
      <c r="A19">
        <f t="shared" si="0"/>
        <v>16</v>
      </c>
      <c r="B19" s="39" t="s">
        <v>72</v>
      </c>
      <c r="C19" s="19">
        <f>C17+C18</f>
        <v>921.425624</v>
      </c>
      <c r="D19" s="88">
        <f>SUM(D17:D18)</f>
        <v>73820551.59204446</v>
      </c>
      <c r="E19" s="88">
        <f>SUM(E17:E18)</f>
        <v>2875297.980980835</v>
      </c>
      <c r="F19" s="88">
        <f>SUM(F17:F18)</f>
        <v>3175336.606507947</v>
      </c>
      <c r="G19" s="20">
        <f>G17+G18</f>
        <v>79871186.17953324</v>
      </c>
      <c r="H19" s="45">
        <f>H17+H18</f>
        <v>85389183.80103965</v>
      </c>
      <c r="I19" s="45">
        <f>I17+I18</f>
        <v>82267321.76491925</v>
      </c>
      <c r="J19" s="45">
        <f>J17+J18</f>
        <v>3121862.0361204</v>
      </c>
      <c r="K19" s="20">
        <v>0</v>
      </c>
      <c r="L19" s="20">
        <f>L17+L18</f>
        <v>375054.3861699138</v>
      </c>
      <c r="M19" s="50">
        <f>M17+M18</f>
        <v>3496916.4222903135</v>
      </c>
      <c r="N19" s="161"/>
    </row>
    <row r="20" spans="1:14" ht="12.75">
      <c r="A20">
        <f t="shared" si="0"/>
        <v>17</v>
      </c>
      <c r="B20" s="55" t="s">
        <v>65</v>
      </c>
      <c r="C20" s="21">
        <v>0</v>
      </c>
      <c r="D20" s="89">
        <f>database!E19</f>
        <v>0</v>
      </c>
      <c r="E20" s="89">
        <v>0</v>
      </c>
      <c r="F20" s="89">
        <v>0</v>
      </c>
      <c r="G20" s="22">
        <f>D20+E20+F20</f>
        <v>0</v>
      </c>
      <c r="H20" s="46">
        <f>'2013 Revenue Summary - B'!H19</f>
        <v>0</v>
      </c>
      <c r="I20" s="46">
        <f>database!F19</f>
        <v>0</v>
      </c>
      <c r="J20" s="45">
        <f>H20-I20</f>
        <v>0</v>
      </c>
      <c r="K20" s="94">
        <v>0</v>
      </c>
      <c r="L20" s="94">
        <f>(J20*(1+$L$56/2))*(1+$L$57)-J20</f>
        <v>0</v>
      </c>
      <c r="M20" s="51">
        <v>0</v>
      </c>
      <c r="N20" s="161"/>
    </row>
    <row r="21" spans="1:13" ht="12.75">
      <c r="A21">
        <f t="shared" si="0"/>
        <v>18</v>
      </c>
      <c r="B21" s="38" t="s">
        <v>11</v>
      </c>
      <c r="C21" s="17">
        <f aca="true" t="shared" si="2" ref="C21:I21">C15+C16+C19+C20</f>
        <v>1678.359322</v>
      </c>
      <c r="D21" s="87">
        <f t="shared" si="2"/>
        <v>150239663.44744688</v>
      </c>
      <c r="E21" s="87">
        <f t="shared" si="2"/>
        <v>5279945.715174111</v>
      </c>
      <c r="F21" s="87">
        <f t="shared" si="2"/>
        <v>5711003.015835656</v>
      </c>
      <c r="G21" s="18">
        <f t="shared" si="2"/>
        <v>161230612.17845663</v>
      </c>
      <c r="H21" s="44">
        <f>H15+H16+H19+H20</f>
        <v>173006515.2506991</v>
      </c>
      <c r="I21" s="44">
        <f t="shared" si="2"/>
        <v>166067530.54381034</v>
      </c>
      <c r="J21" s="44">
        <f>J15+J16+J19+J20</f>
        <v>6938984.706888776</v>
      </c>
      <c r="K21" s="18">
        <v>0</v>
      </c>
      <c r="L21" s="18">
        <f>SUM(L18:L20)</f>
        <v>662176.026216217</v>
      </c>
      <c r="M21" s="49">
        <f>M15+M16+M19+M20</f>
        <v>7772620.729164368</v>
      </c>
    </row>
    <row r="22" spans="1:13" ht="12.75">
      <c r="A22">
        <f t="shared" si="0"/>
        <v>19</v>
      </c>
      <c r="B22" s="39"/>
      <c r="C22" s="19"/>
      <c r="D22" s="88"/>
      <c r="E22" s="88"/>
      <c r="F22" s="88"/>
      <c r="G22" s="20"/>
      <c r="H22" s="45"/>
      <c r="I22" s="45"/>
      <c r="J22" s="45"/>
      <c r="K22" s="20"/>
      <c r="L22" s="20"/>
      <c r="M22" s="50"/>
    </row>
    <row r="23" spans="1:13" ht="12.75">
      <c r="A23">
        <f t="shared" si="0"/>
        <v>20</v>
      </c>
      <c r="B23" s="39" t="s">
        <v>4</v>
      </c>
      <c r="C23" s="19">
        <v>192.648476</v>
      </c>
      <c r="D23" s="88">
        <f>database!E22</f>
        <v>18286843.02137324</v>
      </c>
      <c r="E23" s="88">
        <f>database!B22</f>
        <v>665962.5200624219</v>
      </c>
      <c r="F23" s="88">
        <f>database!C22</f>
        <v>716471.6016251052</v>
      </c>
      <c r="G23" s="20">
        <f>D23+E23+F23</f>
        <v>19669277.143060762</v>
      </c>
      <c r="H23" s="45">
        <f>'2013 Revenue Summary - B'!S22</f>
        <v>20919666.926534437</v>
      </c>
      <c r="I23" s="45">
        <f>'2013 Revenue Summary - B2'!S22</f>
        <v>20266419.88641488</v>
      </c>
      <c r="J23" s="45">
        <f>H23-I23</f>
        <v>653247.0401195548</v>
      </c>
      <c r="K23" s="20">
        <v>0</v>
      </c>
      <c r="L23" s="20">
        <f>(J23*(1+$L$56/2))*(1+$L$57)-J23</f>
        <v>78479.81903576467</v>
      </c>
      <c r="M23" s="50">
        <f>J23+L23</f>
        <v>731726.8591553195</v>
      </c>
    </row>
    <row r="24" spans="1:13" ht="12.75">
      <c r="A24">
        <f t="shared" si="0"/>
        <v>21</v>
      </c>
      <c r="B24" s="55" t="s">
        <v>5</v>
      </c>
      <c r="C24" s="21">
        <v>104.393439</v>
      </c>
      <c r="D24" s="89">
        <f>database!E23</f>
        <v>22338108.07722</v>
      </c>
      <c r="E24" s="89">
        <f>database!B23</f>
        <v>365351.43850175396</v>
      </c>
      <c r="F24" s="89">
        <f>database!C23</f>
        <v>422941.0808745685</v>
      </c>
      <c r="G24" s="22">
        <f>D24+E24+F24</f>
        <v>23126400.596596323</v>
      </c>
      <c r="H24" s="144">
        <f>'2013 Revenue Summary - B'!S23</f>
        <v>25036952.846381895</v>
      </c>
      <c r="I24" s="144">
        <f>'2013 Revenue Summary - B2'!S23</f>
        <v>23820192.614494212</v>
      </c>
      <c r="J24" s="45">
        <f>H24-I24</f>
        <v>1216760.2318876833</v>
      </c>
      <c r="K24" s="94">
        <v>0</v>
      </c>
      <c r="L24" s="94">
        <f>(J24*(1+$L$56/2))*(1+$L$57)-J24</f>
        <v>146179.18940893188</v>
      </c>
      <c r="M24" s="164">
        <f>J24+L24</f>
        <v>1362939.4212966152</v>
      </c>
    </row>
    <row r="25" spans="1:13" ht="12.75">
      <c r="A25">
        <f t="shared" si="0"/>
        <v>22</v>
      </c>
      <c r="B25" s="38" t="s">
        <v>23</v>
      </c>
      <c r="C25" s="17">
        <f>SUM(C23:C24)</f>
        <v>297.041915</v>
      </c>
      <c r="D25" s="87">
        <f>SUM(D23:D24)</f>
        <v>40624951.098593235</v>
      </c>
      <c r="E25" s="87">
        <f>SUM(E23:E24)</f>
        <v>1031313.9585641759</v>
      </c>
      <c r="F25" s="87">
        <f>SUM(F23:F24)</f>
        <v>1139412.6824996737</v>
      </c>
      <c r="G25" s="18">
        <f>G23+G24</f>
        <v>42795677.73965709</v>
      </c>
      <c r="H25" s="44">
        <f>SUM(H23:H24)</f>
        <v>45956619.77291633</v>
      </c>
      <c r="I25" s="44">
        <f>SUM(I23:I24)</f>
        <v>44086612.50090909</v>
      </c>
      <c r="J25" s="44">
        <f>J23+J24</f>
        <v>1870007.2720072381</v>
      </c>
      <c r="K25" s="18">
        <v>0</v>
      </c>
      <c r="L25" s="18">
        <f>L23+L24</f>
        <v>224659.00844469655</v>
      </c>
      <c r="M25" s="49">
        <f>M23+M24</f>
        <v>2094666.2804519348</v>
      </c>
    </row>
    <row r="26" spans="1:13" ht="12.75">
      <c r="A26">
        <f t="shared" si="0"/>
        <v>23</v>
      </c>
      <c r="B26" s="39"/>
      <c r="C26" s="19"/>
      <c r="D26" s="88"/>
      <c r="E26" s="88"/>
      <c r="F26" s="88"/>
      <c r="G26" s="20"/>
      <c r="H26" s="45"/>
      <c r="I26" s="45"/>
      <c r="J26" s="45"/>
      <c r="K26" s="20"/>
      <c r="L26" s="20"/>
      <c r="M26" s="50"/>
    </row>
    <row r="27" spans="1:13" ht="12.75">
      <c r="A27">
        <f t="shared" si="0"/>
        <v>24</v>
      </c>
      <c r="B27" s="56" t="s">
        <v>25</v>
      </c>
      <c r="C27" s="17">
        <f aca="true" t="shared" si="3" ref="C27:I27">C8+C13+C21+C25</f>
        <v>9311.476658</v>
      </c>
      <c r="D27" s="87">
        <f t="shared" si="3"/>
        <v>1124815520.6974525</v>
      </c>
      <c r="E27" s="87">
        <f t="shared" si="3"/>
        <v>33462635.443855725</v>
      </c>
      <c r="F27" s="87">
        <f t="shared" si="3"/>
        <v>32217366.70709234</v>
      </c>
      <c r="G27" s="18">
        <f t="shared" si="3"/>
        <v>1190495522.8484006</v>
      </c>
      <c r="H27" s="44">
        <f>H8+H13+H21+H25</f>
        <v>1281708649.6664987</v>
      </c>
      <c r="I27" s="44">
        <f t="shared" si="3"/>
        <v>1226217452.962915</v>
      </c>
      <c r="J27" s="44">
        <f>J8+J13+J21+J25</f>
        <v>55491196.70358391</v>
      </c>
      <c r="K27" s="18">
        <v>0</v>
      </c>
      <c r="L27" s="18">
        <f>L8+L13+L21+L25</f>
        <v>6495143.613163652</v>
      </c>
      <c r="M27" s="49">
        <f>M8+M13+M21+M25</f>
        <v>62157800.312806934</v>
      </c>
    </row>
    <row r="28" spans="1:13" ht="12.75">
      <c r="A28">
        <f t="shared" si="0"/>
        <v>25</v>
      </c>
      <c r="B28" s="39"/>
      <c r="C28" s="19"/>
      <c r="D28" s="88"/>
      <c r="E28" s="88"/>
      <c r="F28" s="88"/>
      <c r="G28" s="20"/>
      <c r="H28" s="45"/>
      <c r="I28" s="45"/>
      <c r="J28" s="45"/>
      <c r="K28" s="20"/>
      <c r="L28" s="20"/>
      <c r="M28" s="50"/>
    </row>
    <row r="29" spans="1:13" ht="12.75">
      <c r="A29">
        <f t="shared" si="0"/>
        <v>26</v>
      </c>
      <c r="B29" s="38" t="s">
        <v>48</v>
      </c>
      <c r="C29" s="19"/>
      <c r="D29" s="88"/>
      <c r="E29" s="88"/>
      <c r="F29" s="88"/>
      <c r="G29" s="20"/>
      <c r="H29" s="45"/>
      <c r="I29" s="45"/>
      <c r="J29" s="45"/>
      <c r="K29" s="20"/>
      <c r="L29" s="20"/>
      <c r="M29" s="50"/>
    </row>
    <row r="30" spans="1:13" ht="12.75">
      <c r="A30">
        <f t="shared" si="0"/>
        <v>27</v>
      </c>
      <c r="B30" s="39" t="s">
        <v>6</v>
      </c>
      <c r="C30" s="19">
        <v>18.814683</v>
      </c>
      <c r="D30" s="88">
        <f>database!E29</f>
        <v>1094660</v>
      </c>
      <c r="E30" s="88">
        <f>database!B29</f>
        <v>0</v>
      </c>
      <c r="F30" s="88">
        <f>database!C29</f>
        <v>0</v>
      </c>
      <c r="G30" s="20">
        <f>D30+E30+F30</f>
        <v>1094660</v>
      </c>
      <c r="H30" s="45">
        <f>'2013 Revenue Summary - B'!S29</f>
        <v>1094660</v>
      </c>
      <c r="I30" s="45">
        <f>'2013 Revenue Summary - B2'!S29</f>
        <v>1094660</v>
      </c>
      <c r="J30" s="45">
        <f>H30-I30</f>
        <v>0</v>
      </c>
      <c r="K30" s="20">
        <v>0</v>
      </c>
      <c r="L30" s="20">
        <f>J30*$L$56</f>
        <v>0</v>
      </c>
      <c r="M30" s="50">
        <f>J30+L30</f>
        <v>0</v>
      </c>
    </row>
    <row r="31" spans="1:13" ht="12.75">
      <c r="A31">
        <f t="shared" si="0"/>
        <v>28</v>
      </c>
      <c r="B31" s="40" t="s">
        <v>12</v>
      </c>
      <c r="C31" s="19">
        <v>178.92</v>
      </c>
      <c r="D31" s="88">
        <f>database!E31</f>
        <v>10282532</v>
      </c>
      <c r="E31" s="88">
        <f>+database!B31</f>
        <v>0</v>
      </c>
      <c r="F31" s="88">
        <f>+database!C31</f>
        <v>419450.54009040515</v>
      </c>
      <c r="G31" s="20">
        <f>D31+E31+F31</f>
        <v>10701982.540090404</v>
      </c>
      <c r="H31" s="45">
        <f>'2013 Revenue Summary - B'!S30</f>
        <v>10572960.526097674</v>
      </c>
      <c r="I31" s="45">
        <f>'2013 Revenue Summary - B2'!S30</f>
        <v>10572960.526097674</v>
      </c>
      <c r="J31" s="45">
        <f>H31-I31</f>
        <v>0</v>
      </c>
      <c r="K31" s="20">
        <v>0</v>
      </c>
      <c r="L31" s="20">
        <f>J31*$L$56</f>
        <v>0</v>
      </c>
      <c r="M31" s="50">
        <f>J31+L31</f>
        <v>0</v>
      </c>
    </row>
    <row r="32" spans="2:13" ht="12.75">
      <c r="B32" s="40" t="s">
        <v>78</v>
      </c>
      <c r="C32" s="19">
        <v>322.080003</v>
      </c>
      <c r="D32" s="88">
        <f>database!E33</f>
        <v>21183202</v>
      </c>
      <c r="E32" s="88">
        <f>database!B19*0.7297</f>
        <v>879406.3053934622</v>
      </c>
      <c r="F32" s="88">
        <f>database!C19*0.7297</f>
        <v>1219578.0293619048</v>
      </c>
      <c r="G32" s="20">
        <f>D32+E32+F32</f>
        <v>23282186.334755365</v>
      </c>
      <c r="H32" s="45">
        <f>'2013 Revenue Summary - B'!S31</f>
        <v>22513775.34978495</v>
      </c>
      <c r="I32" s="45">
        <f>'2013 Revenue Summary - B2'!S31</f>
        <v>22513775.34978495</v>
      </c>
      <c r="J32" s="45">
        <f>H32-I32</f>
        <v>0</v>
      </c>
      <c r="K32" s="20">
        <v>0</v>
      </c>
      <c r="L32" s="20">
        <f>J32*$L$56</f>
        <v>0</v>
      </c>
      <c r="M32" s="50">
        <f>J32+L32</f>
        <v>0</v>
      </c>
    </row>
    <row r="33" spans="1:13" ht="12.75">
      <c r="A33">
        <f>A31+1</f>
        <v>29</v>
      </c>
      <c r="B33" s="41" t="s">
        <v>13</v>
      </c>
      <c r="C33" s="21">
        <v>189</v>
      </c>
      <c r="D33" s="89">
        <f>database!E32</f>
        <v>9934827</v>
      </c>
      <c r="E33" s="167">
        <f>database!B32</f>
        <v>0</v>
      </c>
      <c r="F33" s="167">
        <f>database!C32</f>
        <v>0</v>
      </c>
      <c r="G33" s="22">
        <f>D33+E33+F33</f>
        <v>9934827</v>
      </c>
      <c r="H33" s="46">
        <f>'2013 Revenue Summary - B'!S32</f>
        <v>9934827</v>
      </c>
      <c r="I33" s="46">
        <f>'2013 Revenue Summary - B2'!S32</f>
        <v>9934827</v>
      </c>
      <c r="J33" s="144">
        <f>H33-I33</f>
        <v>0</v>
      </c>
      <c r="K33" s="94">
        <v>0</v>
      </c>
      <c r="L33" s="94">
        <f>J33*$L$56</f>
        <v>0</v>
      </c>
      <c r="M33" s="51">
        <f>J33+L33</f>
        <v>0</v>
      </c>
    </row>
    <row r="34" spans="1:13" ht="12.75">
      <c r="A34">
        <f t="shared" si="0"/>
        <v>30</v>
      </c>
      <c r="B34" s="56" t="s">
        <v>49</v>
      </c>
      <c r="C34" s="17">
        <f>SUM(C30:C33)</f>
        <v>708.8146859999999</v>
      </c>
      <c r="D34" s="87">
        <f>SUM(D30:D33)</f>
        <v>42495221</v>
      </c>
      <c r="E34" s="87">
        <f>SUM(E30:E33)</f>
        <v>879406.3053934622</v>
      </c>
      <c r="F34" s="87">
        <f>SUM(F30:F33)</f>
        <v>1639028.56945231</v>
      </c>
      <c r="G34" s="18">
        <f>G30+G31+G32+G33</f>
        <v>45013655.87484577</v>
      </c>
      <c r="H34" s="44">
        <f>SUM(H30:H33)</f>
        <v>44116222.875882626</v>
      </c>
      <c r="I34" s="44">
        <f>SUM(I30:I33)</f>
        <v>44116222.875882626</v>
      </c>
      <c r="J34" s="44">
        <f>SUM(J30:J33)</f>
        <v>0</v>
      </c>
      <c r="K34" s="18">
        <v>0</v>
      </c>
      <c r="L34" s="18">
        <f>SUM(L30:L33)</f>
        <v>0</v>
      </c>
      <c r="M34" s="49">
        <f>SUM(M30:M33)</f>
        <v>0</v>
      </c>
    </row>
    <row r="35" spans="1:13" ht="12.75">
      <c r="A35">
        <f t="shared" si="0"/>
        <v>31</v>
      </c>
      <c r="B35" s="56"/>
      <c r="C35" s="17"/>
      <c r="D35" s="87"/>
      <c r="E35" s="87"/>
      <c r="F35" s="87"/>
      <c r="G35" s="18"/>
      <c r="H35" s="44"/>
      <c r="I35" s="44"/>
      <c r="J35" s="44"/>
      <c r="K35" s="18"/>
      <c r="L35" s="18"/>
      <c r="M35" s="49"/>
    </row>
    <row r="36" spans="1:13" ht="12.75">
      <c r="A36">
        <f t="shared" si="0"/>
        <v>32</v>
      </c>
      <c r="B36" s="83" t="s">
        <v>100</v>
      </c>
      <c r="C36" s="17"/>
      <c r="D36" s="88">
        <f>database!E38</f>
        <v>1565170</v>
      </c>
      <c r="E36" s="88">
        <v>0</v>
      </c>
      <c r="F36" s="88">
        <v>0</v>
      </c>
      <c r="G36" s="20">
        <f>D36+E36+F36</f>
        <v>1565170</v>
      </c>
      <c r="H36" s="45">
        <f>'2013 Revenue Summary - B'!S35</f>
        <v>1962838.6943564923</v>
      </c>
      <c r="I36" s="45">
        <f>'2013 Revenue Summary - B2'!S35</f>
        <v>1612125.0999999999</v>
      </c>
      <c r="J36" s="45">
        <f>H36-I36</f>
        <v>350713.5943564924</v>
      </c>
      <c r="K36" s="20">
        <v>0</v>
      </c>
      <c r="L36" s="20">
        <f>(J36*(1+$L$56/2))*(1+$L$57)-J36</f>
        <v>42134.04382734408</v>
      </c>
      <c r="M36" s="50">
        <f>J36+L36</f>
        <v>392847.6381838365</v>
      </c>
    </row>
    <row r="37" spans="1:13" ht="12.75">
      <c r="A37">
        <f t="shared" si="0"/>
        <v>33</v>
      </c>
      <c r="B37" s="39"/>
      <c r="C37" s="19"/>
      <c r="D37" s="88"/>
      <c r="E37" s="88"/>
      <c r="F37" s="88"/>
      <c r="G37" s="20"/>
      <c r="H37" s="45"/>
      <c r="I37" s="45"/>
      <c r="J37" s="45"/>
      <c r="K37" s="20"/>
      <c r="L37" s="20"/>
      <c r="M37" s="50"/>
    </row>
    <row r="38" spans="1:13" ht="12.75">
      <c r="A38">
        <f t="shared" si="0"/>
        <v>34</v>
      </c>
      <c r="B38" s="37"/>
      <c r="C38" s="17"/>
      <c r="D38" s="90"/>
      <c r="E38" s="90"/>
      <c r="F38" s="90"/>
      <c r="G38" s="23"/>
      <c r="H38" s="47"/>
      <c r="I38" s="47"/>
      <c r="J38" s="47"/>
      <c r="K38" s="23"/>
      <c r="L38" s="23"/>
      <c r="M38" s="52"/>
    </row>
    <row r="39" spans="1:13" ht="12.75">
      <c r="A39">
        <f t="shared" si="0"/>
        <v>35</v>
      </c>
      <c r="B39" s="38" t="s">
        <v>15</v>
      </c>
      <c r="C39" s="17">
        <f>C27+C34</f>
        <v>10020.291344</v>
      </c>
      <c r="D39" s="87">
        <f aca="true" t="shared" si="4" ref="D39:I39">D27+D34+D36</f>
        <v>1168875911.6974525</v>
      </c>
      <c r="E39" s="87">
        <f t="shared" si="4"/>
        <v>34342041.74924919</v>
      </c>
      <c r="F39" s="87">
        <f t="shared" si="4"/>
        <v>33856395.27654465</v>
      </c>
      <c r="G39" s="18">
        <f t="shared" si="4"/>
        <v>1237074348.7232463</v>
      </c>
      <c r="H39" s="44">
        <f t="shared" si="4"/>
        <v>1327787711.2367377</v>
      </c>
      <c r="I39" s="44">
        <f t="shared" si="4"/>
        <v>1271945800.9387975</v>
      </c>
      <c r="J39" s="44">
        <f>J27+J36</f>
        <v>55841910.2979404</v>
      </c>
      <c r="K39" s="18">
        <v>0</v>
      </c>
      <c r="L39" s="18">
        <f>L27+L36</f>
        <v>6537277.656990996</v>
      </c>
      <c r="M39" s="49">
        <f>M27+M36</f>
        <v>62550647.950990774</v>
      </c>
    </row>
    <row r="40" spans="1:13" ht="12.75">
      <c r="A40">
        <f t="shared" si="0"/>
        <v>36</v>
      </c>
      <c r="B40" s="39"/>
      <c r="C40" s="19"/>
      <c r="D40" s="88"/>
      <c r="E40" s="88"/>
      <c r="F40" s="88"/>
      <c r="G40" s="20"/>
      <c r="H40" s="45"/>
      <c r="I40" s="45"/>
      <c r="J40" s="45"/>
      <c r="K40" s="20"/>
      <c r="L40" s="20"/>
      <c r="M40" s="50"/>
    </row>
    <row r="41" spans="1:13" ht="12.75">
      <c r="A41">
        <f t="shared" si="0"/>
        <v>37</v>
      </c>
      <c r="B41" s="24" t="s">
        <v>16</v>
      </c>
      <c r="C41" s="19">
        <v>28.943</v>
      </c>
      <c r="D41" s="88">
        <f>database!E42</f>
        <v>1806823</v>
      </c>
      <c r="E41" s="88">
        <f>+database!B42</f>
        <v>0</v>
      </c>
      <c r="F41" s="88">
        <f>database!C42</f>
        <v>0</v>
      </c>
      <c r="G41" s="20">
        <f>D41+E41+F41</f>
        <v>1806823</v>
      </c>
      <c r="H41" s="45">
        <f>'2013 Revenue Summary - B'!S40</f>
        <v>1806823</v>
      </c>
      <c r="I41" s="45">
        <f>'2013 Revenue Summary - B2'!S40</f>
        <v>1806823</v>
      </c>
      <c r="J41" s="45">
        <f>H41-I41</f>
        <v>0</v>
      </c>
      <c r="K41" s="20">
        <v>0</v>
      </c>
      <c r="L41" s="20">
        <f>(J41*($L$56/2))+(J41*($L$57))</f>
        <v>0</v>
      </c>
      <c r="M41" s="50">
        <f>J41+L41</f>
        <v>0</v>
      </c>
    </row>
    <row r="42" spans="1:13" ht="12.75">
      <c r="A42">
        <f t="shared" si="0"/>
        <v>38</v>
      </c>
      <c r="B42" s="24"/>
      <c r="C42" s="19"/>
      <c r="D42" s="88"/>
      <c r="E42" s="88"/>
      <c r="F42" s="88"/>
      <c r="G42" s="20"/>
      <c r="H42" s="45"/>
      <c r="I42" s="45"/>
      <c r="J42" s="45"/>
      <c r="K42" s="20"/>
      <c r="L42" s="20"/>
      <c r="M42" s="50"/>
    </row>
    <row r="43" spans="1:13" ht="12.75">
      <c r="A43">
        <f t="shared" si="0"/>
        <v>39</v>
      </c>
      <c r="B43" s="37" t="s">
        <v>17</v>
      </c>
      <c r="C43" s="17">
        <f aca="true" t="shared" si="5" ref="C43:I43">C39+C41</f>
        <v>10049.234343999999</v>
      </c>
      <c r="D43" s="87">
        <f t="shared" si="5"/>
        <v>1170682734.6974525</v>
      </c>
      <c r="E43" s="87">
        <f t="shared" si="5"/>
        <v>34342041.74924919</v>
      </c>
      <c r="F43" s="87">
        <f t="shared" si="5"/>
        <v>33856395.27654465</v>
      </c>
      <c r="G43" s="18">
        <f t="shared" si="5"/>
        <v>1238881171.7232463</v>
      </c>
      <c r="H43" s="44">
        <f>H39+H41</f>
        <v>1329594534.2367377</v>
      </c>
      <c r="I43" s="44">
        <f t="shared" si="5"/>
        <v>1273752623.9387975</v>
      </c>
      <c r="J43" s="44">
        <f>J39+J41</f>
        <v>55841910.2979404</v>
      </c>
      <c r="K43" s="18">
        <v>0</v>
      </c>
      <c r="L43" s="18">
        <f>L39+L41</f>
        <v>6537277.656990996</v>
      </c>
      <c r="M43" s="49">
        <f>M39+M41</f>
        <v>62550647.950990774</v>
      </c>
    </row>
    <row r="44" spans="1:13" ht="12.75">
      <c r="A44">
        <f t="shared" si="0"/>
        <v>40</v>
      </c>
      <c r="B44" s="24"/>
      <c r="C44" s="19"/>
      <c r="D44" s="88"/>
      <c r="E44" s="88"/>
      <c r="F44" s="88"/>
      <c r="G44" s="20"/>
      <c r="H44" s="45"/>
      <c r="I44" s="45"/>
      <c r="J44" s="45"/>
      <c r="K44" s="20"/>
      <c r="L44" s="20"/>
      <c r="M44" s="50"/>
    </row>
    <row r="45" spans="1:13" ht="12.75">
      <c r="A45">
        <f t="shared" si="0"/>
        <v>41</v>
      </c>
      <c r="B45" s="39" t="s">
        <v>37</v>
      </c>
      <c r="C45" s="19">
        <f>700.760344+0.897</f>
        <v>701.6573440000001</v>
      </c>
      <c r="D45" s="88">
        <f>database!E49</f>
        <v>21959248.80253</v>
      </c>
      <c r="E45" s="88">
        <v>0</v>
      </c>
      <c r="F45" s="88">
        <v>0</v>
      </c>
      <c r="G45" s="20">
        <f>D45+E45+F45</f>
        <v>21959248.80253</v>
      </c>
      <c r="H45" s="45">
        <f>'2013 Revenue Summary - B'!S44</f>
        <v>22582498.31192314</v>
      </c>
      <c r="I45" s="45">
        <f>'2013 Revenue Summary - B2'!S44</f>
        <v>22315097.376061857</v>
      </c>
      <c r="J45" s="45">
        <f>H45-I45</f>
        <v>267400.93586128205</v>
      </c>
      <c r="K45" s="20">
        <v>0</v>
      </c>
      <c r="L45" s="20">
        <f>(J45*($L$56/2))+(J45*($L$57))</f>
        <v>31312.649589356126</v>
      </c>
      <c r="M45" s="50">
        <f>J45+L45</f>
        <v>298713.5854506382</v>
      </c>
    </row>
    <row r="46" spans="1:13" ht="12.75">
      <c r="A46">
        <f t="shared" si="0"/>
        <v>42</v>
      </c>
      <c r="B46" s="24"/>
      <c r="C46" s="19"/>
      <c r="D46" s="88"/>
      <c r="E46" s="88"/>
      <c r="F46" s="88"/>
      <c r="G46" s="20"/>
      <c r="H46" s="45"/>
      <c r="I46" s="45"/>
      <c r="J46" s="45"/>
      <c r="K46" s="20"/>
      <c r="L46" s="20"/>
      <c r="M46" s="50"/>
    </row>
    <row r="47" spans="1:13" ht="12.75">
      <c r="A47">
        <f t="shared" si="0"/>
        <v>43</v>
      </c>
      <c r="B47" s="36" t="s">
        <v>35</v>
      </c>
      <c r="C47" s="17">
        <f aca="true" t="shared" si="6" ref="C47:I47">C43+C45</f>
        <v>10750.891687999998</v>
      </c>
      <c r="D47" s="90">
        <f>D43+D45</f>
        <v>1192641983.4999826</v>
      </c>
      <c r="E47" s="90">
        <f t="shared" si="6"/>
        <v>34342041.74924919</v>
      </c>
      <c r="F47" s="90">
        <f t="shared" si="6"/>
        <v>33856395.27654465</v>
      </c>
      <c r="G47" s="23">
        <f t="shared" si="6"/>
        <v>1260840420.5257764</v>
      </c>
      <c r="H47" s="47">
        <f>H43+H45</f>
        <v>1352177032.5486608</v>
      </c>
      <c r="I47" s="47">
        <f t="shared" si="6"/>
        <v>1296067721.3148594</v>
      </c>
      <c r="J47" s="47">
        <f>J43+J45</f>
        <v>56109311.233801685</v>
      </c>
      <c r="K47" s="23">
        <v>0</v>
      </c>
      <c r="L47" s="23">
        <f>L43+L45</f>
        <v>6568590.306580352</v>
      </c>
      <c r="M47" s="52">
        <f>M43+M45</f>
        <v>62849361.536441416</v>
      </c>
    </row>
    <row r="48" spans="1:13" ht="12.75">
      <c r="A48">
        <f t="shared" si="0"/>
        <v>44</v>
      </c>
      <c r="B48" s="42"/>
      <c r="C48" s="8"/>
      <c r="D48" s="9"/>
      <c r="E48" s="9"/>
      <c r="F48" s="81"/>
      <c r="G48" s="9"/>
      <c r="H48" s="8"/>
      <c r="I48" s="8"/>
      <c r="J48" s="8"/>
      <c r="K48" s="9"/>
      <c r="L48" s="9"/>
      <c r="M48" s="10"/>
    </row>
    <row r="49" spans="1:12" ht="12.75">
      <c r="A49">
        <f t="shared" si="0"/>
        <v>45</v>
      </c>
      <c r="F49" s="82"/>
      <c r="G49" s="91"/>
      <c r="H49" s="91"/>
      <c r="I49" s="65"/>
      <c r="J49" s="85"/>
      <c r="K49" s="85"/>
      <c r="L49" s="96"/>
    </row>
    <row r="50" spans="1:12" ht="12.75">
      <c r="A50">
        <f t="shared" si="0"/>
        <v>46</v>
      </c>
      <c r="B50" t="s">
        <v>95</v>
      </c>
      <c r="F50" s="82"/>
      <c r="G50" s="98"/>
      <c r="H50" s="98"/>
      <c r="I50" s="65"/>
      <c r="L50" s="23"/>
    </row>
    <row r="51" spans="1:12" ht="12.75">
      <c r="A51">
        <f t="shared" si="0"/>
        <v>47</v>
      </c>
      <c r="B51" t="s">
        <v>102</v>
      </c>
      <c r="F51" s="82"/>
      <c r="G51" s="98"/>
      <c r="H51" s="98"/>
      <c r="I51" s="65"/>
      <c r="J51" s="85"/>
      <c r="K51" s="85"/>
      <c r="L51" s="85"/>
    </row>
    <row r="52" spans="3:12" ht="12.75">
      <c r="C52" s="96"/>
      <c r="D52" s="99"/>
      <c r="E52" s="99"/>
      <c r="F52" s="99"/>
      <c r="G52" s="99"/>
      <c r="H52" s="99"/>
      <c r="I52" s="99"/>
      <c r="J52" s="85"/>
      <c r="K52" s="85"/>
      <c r="L52" s="85"/>
    </row>
    <row r="53" spans="2:12" ht="12.75">
      <c r="B53" s="95"/>
      <c r="C53" s="96"/>
      <c r="D53" s="99"/>
      <c r="E53" s="99"/>
      <c r="F53" s="99"/>
      <c r="G53" s="99"/>
      <c r="H53" s="99"/>
      <c r="I53" s="99"/>
      <c r="J53" s="96"/>
      <c r="K53" s="96"/>
      <c r="L53" s="85"/>
    </row>
    <row r="54" spans="6:12" ht="12.75">
      <c r="F54" s="82"/>
      <c r="G54" s="91"/>
      <c r="H54" s="91"/>
      <c r="J54" s="85"/>
      <c r="K54" s="85"/>
      <c r="L54" s="145"/>
    </row>
    <row r="55" spans="5:12" ht="12.75">
      <c r="E55" s="95"/>
      <c r="F55" s="82"/>
      <c r="G55" s="91"/>
      <c r="H55" s="91"/>
      <c r="J55" s="85"/>
      <c r="K55" s="85" t="s">
        <v>106</v>
      </c>
      <c r="L55" s="148"/>
    </row>
    <row r="56" spans="2:12" ht="12.75">
      <c r="B56" s="95"/>
      <c r="F56" s="82"/>
      <c r="G56" s="91"/>
      <c r="H56" s="91"/>
      <c r="J56" s="145"/>
      <c r="K56" s="148">
        <v>2013</v>
      </c>
      <c r="L56" s="146">
        <v>0.0776</v>
      </c>
    </row>
    <row r="57" spans="2:12" ht="12.75">
      <c r="B57" s="95"/>
      <c r="C57" s="74"/>
      <c r="D57" s="74"/>
      <c r="F57" s="82"/>
      <c r="G57" s="91"/>
      <c r="H57" s="91"/>
      <c r="J57" s="85"/>
      <c r="K57" s="96">
        <v>2014</v>
      </c>
      <c r="L57" s="146">
        <v>0.0783</v>
      </c>
    </row>
    <row r="58" spans="2:12" ht="12.75">
      <c r="B58" s="95"/>
      <c r="C58" s="74"/>
      <c r="D58" s="74"/>
      <c r="F58" s="82"/>
      <c r="J58" s="85"/>
      <c r="K58" s="85"/>
      <c r="L58" s="85"/>
    </row>
    <row r="59" spans="2:12" ht="12.75">
      <c r="B59" s="95"/>
      <c r="C59" s="74"/>
      <c r="D59" s="74"/>
      <c r="E59" s="74"/>
      <c r="J59" s="85"/>
      <c r="K59" s="85"/>
      <c r="L59" s="85"/>
    </row>
    <row r="60" spans="2:12" ht="12.75">
      <c r="B60" s="95"/>
      <c r="C60" s="74"/>
      <c r="D60" s="74"/>
      <c r="E60" s="74"/>
      <c r="J60" s="85"/>
      <c r="K60" s="85"/>
      <c r="L60" s="85"/>
    </row>
    <row r="61" spans="2:12" ht="12.75">
      <c r="B61" s="95"/>
      <c r="C61" s="132"/>
      <c r="D61" s="132"/>
      <c r="E61" s="74"/>
      <c r="J61" s="85"/>
      <c r="K61" s="85"/>
      <c r="L61" s="85"/>
    </row>
    <row r="62" spans="2:12" ht="12.75">
      <c r="B62" s="95"/>
      <c r="C62" s="74"/>
      <c r="D62" s="74"/>
      <c r="E62" s="74"/>
      <c r="J62" s="85"/>
      <c r="K62" s="85"/>
      <c r="L62" s="85"/>
    </row>
    <row r="63" spans="3:12" ht="12.75">
      <c r="C63" s="74"/>
      <c r="D63" s="74"/>
      <c r="J63" s="85"/>
      <c r="K63" s="85"/>
      <c r="L63" s="85"/>
    </row>
    <row r="64" spans="2:12" ht="12.75">
      <c r="B64" s="95"/>
      <c r="C64" s="74"/>
      <c r="D64" s="74"/>
      <c r="E64" s="74"/>
      <c r="J64" s="85"/>
      <c r="K64" s="85"/>
      <c r="L64" s="85"/>
    </row>
    <row r="65" spans="3:12" ht="12.75">
      <c r="C65" s="74"/>
      <c r="D65" s="74"/>
      <c r="E65" s="74"/>
      <c r="J65" s="85"/>
      <c r="K65" s="85"/>
      <c r="L65" s="85"/>
    </row>
    <row r="66" spans="2:12" ht="12.75">
      <c r="B66" s="95"/>
      <c r="C66" s="133"/>
      <c r="D66" s="133"/>
      <c r="E66" s="133"/>
      <c r="J66" s="85"/>
      <c r="K66" s="85"/>
      <c r="L66" s="85"/>
    </row>
    <row r="67" spans="10:12" ht="12.75">
      <c r="J67" s="85"/>
      <c r="K67" s="85"/>
      <c r="L67" s="85"/>
    </row>
  </sheetData>
  <sheetProtection/>
  <mergeCells count="2">
    <mergeCell ref="J3:M3"/>
    <mergeCell ref="B2:M2"/>
  </mergeCells>
  <printOptions/>
  <pageMargins left="0.2" right="0.2" top="0.23" bottom="0.23" header="0.17" footer="0.17"/>
  <pageSetup fitToHeight="1" fitToWidth="1" horizontalDpi="600" verticalDpi="600" orientation="landscape" paperSize="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CYR, JENNIFER</cp:lastModifiedBy>
  <cp:lastPrinted>2012-06-24T23:09:00Z</cp:lastPrinted>
  <dcterms:created xsi:type="dcterms:W3CDTF">2010-02-08T13:29:36Z</dcterms:created>
  <dcterms:modified xsi:type="dcterms:W3CDTF">2012-06-24T23:10:08Z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Date="-8588610232961435285" Reason="ItemUpdated" Error=""&gt;&lt;Rule Message="" Name="Admin" /&gt;&lt;/Log&gt;</vt:lpwstr>
  </property>
  <property fmtid="{D5CDD505-2E9C-101B-9397-08002B2CF9AE}" pid="6" name="IR_Requester">
    <vt:lpwstr>9</vt:lpwstr>
  </property>
  <property fmtid="{D5CDD505-2E9C-101B-9397-08002B2CF9AE}" pid="7" name="IR_Subtopic">
    <vt:lpwstr>215</vt:lpwstr>
  </property>
  <property fmtid="{D5CDD505-2E9C-101B-9397-08002B2CF9AE}" pid="8" name="IR_Received_Date">
    <vt:lpwstr>2012-06-11T00:00:00Z</vt:lpwstr>
  </property>
  <property fmtid="{D5CDD505-2E9C-101B-9397-08002B2CF9AE}" pid="9" name="IR_Filing_Date">
    <vt:lpwstr>2012-06-25T00:00:00Z</vt:lpwstr>
  </property>
  <property fmtid="{D5CDD505-2E9C-101B-9397-08002B2CF9AE}" pid="10" name="IR_Review_Sort">
    <vt:lpwstr/>
  </property>
  <property fmtid="{D5CDD505-2E9C-101B-9397-08002B2CF9AE}" pid="11" name="ContentType">
    <vt:lpwstr>Document</vt:lpwstr>
  </property>
  <property fmtid="{D5CDD505-2E9C-101B-9397-08002B2CF9AE}" pid="12" name="IR_Witness">
    <vt:lpwstr/>
  </property>
  <property fmtid="{D5CDD505-2E9C-101B-9397-08002B2CF9AE}" pid="13" name="IR_Description_Field">
    <vt:lpwstr/>
  </property>
  <property fmtid="{D5CDD505-2E9C-101B-9397-08002B2CF9AE}" pid="14" name="display_urn:schemas-microsoft-com:office:office#IR_Owner">
    <vt:lpwstr>GRUS, VOYTEK</vt:lpwstr>
  </property>
  <property fmtid="{D5CDD505-2E9C-101B-9397-08002B2CF9AE}" pid="15" name="display_urn:schemas-microsoft-com:office:office#IR_Writer">
    <vt:lpwstr>POWER, LISA</vt:lpwstr>
  </property>
  <property fmtid="{D5CDD505-2E9C-101B-9397-08002B2CF9AE}" pid="16" name="IR_Writer">
    <vt:lpwstr>343</vt:lpwstr>
  </property>
  <property fmtid="{D5CDD505-2E9C-101B-9397-08002B2CF9AE}" pid="17" name="IR_Owner">
    <vt:lpwstr>48</vt:lpwstr>
  </property>
  <property fmtid="{D5CDD505-2E9C-101B-9397-08002B2CF9AE}" pid="18" name="IR_Context">
    <vt:lpwstr>20</vt:lpwstr>
  </property>
  <property fmtid="{D5CDD505-2E9C-101B-9397-08002B2CF9AE}" pid="19" name="Order">
    <vt:lpwstr>184300.000000000</vt:lpwstr>
  </property>
</Properties>
</file>