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240" windowWidth="18075" windowHeight="8730" tabRatio="855" activeTab="1"/>
  </bookViews>
  <sheets>
    <sheet name="AA Calculation" sheetId="1" r:id="rId1"/>
    <sheet name="BCF Allocation" sheetId="2" r:id="rId2"/>
    <sheet name="Monthly Fuel Cost Allocation" sheetId="3" r:id="rId3"/>
    <sheet name="Monthly Energy Allocators" sheetId="4" r:id="rId4"/>
    <sheet name="Monthly LL" sheetId="5" r:id="rId5"/>
    <sheet name="Data Inputs - 2011" sheetId="6" r:id="rId6"/>
    <sheet name="Data Inputs - 2012" sheetId="7" r:id="rId7"/>
    <sheet name="3CP &amp; Rate Base" sheetId="8" r:id="rId8"/>
  </sheets>
  <definedNames>
    <definedName name="AA_calc">'AA Calculation'!$D$12:$V$38</definedName>
    <definedName name="AA_calc_adj">#REF!</definedName>
    <definedName name="AA_calculation">#REF!</definedName>
    <definedName name="FAMvsDSM">#REF!</definedName>
    <definedName name="Fuel_Cost_bfr_Interest">'BCF Allocation'!$C$15:$AC$64</definedName>
    <definedName name="_xlnm.Print_Area" localSheetId="7">'3CP &amp; Rate Base'!$A$1:$O$57</definedName>
    <definedName name="_xlnm.Print_Area" localSheetId="0">'AA Calculation'!$A$1:$V$40</definedName>
    <definedName name="_xlnm.Print_Area" localSheetId="1">'BCF Allocation'!$A$1:$AB$64</definedName>
    <definedName name="_xlnm.Print_Area" localSheetId="5">'Data Inputs - 2011'!$A$1:$O$181</definedName>
    <definedName name="_xlnm.Print_Area" localSheetId="6">'Data Inputs - 2012'!$A$1:$N$40</definedName>
    <definedName name="_xlnm.Print_Area" localSheetId="3">'Monthly Energy Allocators'!$A$1:$O$151</definedName>
    <definedName name="_xlnm.Print_Area" localSheetId="2">'Monthly Fuel Cost Allocation'!$A$1:$N$83</definedName>
    <definedName name="_xlnm.Print_Area" localSheetId="4">'Monthly LL'!$A$1:$N$95</definedName>
    <definedName name="_xlnm.Print_Titles" localSheetId="0">'AA Calculation'!$A:$C,'AA Calculation'!$1:$11</definedName>
    <definedName name="_xlnm.Print_Titles" localSheetId="1">'BCF Allocation'!$A:$B,'BCF Allocation'!$2:$14</definedName>
    <definedName name="_xlnm.Print_Titles" localSheetId="5">'Data Inputs - 2011'!$1:$3</definedName>
    <definedName name="_xlnm.Print_Titles" localSheetId="3">'Monthly Energy Allocators'!$1:$1</definedName>
    <definedName name="_xlnm.Print_Titles" localSheetId="4">'Monthly LL'!$1:$1</definedName>
    <definedName name="solver_adj" localSheetId="2" hidden="1">'Monthly Fuel Cost Allocation'!$A$4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'Monthly Fuel Cost Allocation'!$A$4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<sst xmlns="http://schemas.openxmlformats.org/spreadsheetml/2006/main" count="744" uniqueCount="336">
  <si>
    <t>COLUMN</t>
  </si>
  <si>
    <t>C</t>
  </si>
  <si>
    <t>D</t>
  </si>
  <si>
    <t>E</t>
  </si>
  <si>
    <t>F</t>
  </si>
  <si>
    <t>G</t>
  </si>
  <si>
    <t>FORMULA</t>
  </si>
  <si>
    <t>Rate Class</t>
  </si>
  <si>
    <t>cents per kWh</t>
  </si>
  <si>
    <t xml:space="preserve">    Residential non ETS</t>
  </si>
  <si>
    <t xml:space="preserve">    Residential ETS</t>
  </si>
  <si>
    <t xml:space="preserve">    Small General</t>
  </si>
  <si>
    <t xml:space="preserve">    General Demand</t>
  </si>
  <si>
    <t xml:space="preserve">    Large General</t>
  </si>
  <si>
    <t xml:space="preserve">    Small Industrial</t>
  </si>
  <si>
    <t xml:space="preserve">    Medium Industrial</t>
  </si>
  <si>
    <t xml:space="preserve">    Large Industrial</t>
  </si>
  <si>
    <t xml:space="preserve">    Municipal</t>
  </si>
  <si>
    <t>I</t>
  </si>
  <si>
    <t>H</t>
  </si>
  <si>
    <t>J</t>
  </si>
  <si>
    <t>Line #</t>
  </si>
  <si>
    <t>K</t>
  </si>
  <si>
    <t>Relative Share</t>
  </si>
  <si>
    <t>L</t>
  </si>
  <si>
    <t>M</t>
  </si>
  <si>
    <t xml:space="preserve">   ATL Subtotal / Average</t>
  </si>
  <si>
    <t>Export Revenues</t>
  </si>
  <si>
    <t>NA</t>
  </si>
  <si>
    <t>Grand Total</t>
  </si>
  <si>
    <t>Mersey S.</t>
  </si>
  <si>
    <t xml:space="preserve">GRLF </t>
  </si>
  <si>
    <t>O</t>
  </si>
  <si>
    <t xml:space="preserve">Fuel Costs used for FAM purposes </t>
  </si>
  <si>
    <t>Adjusted for R/C ratio and Unbalanced</t>
  </si>
  <si>
    <t>Fuel-related  C o s t s   f r o m   C O S</t>
  </si>
  <si>
    <t xml:space="preserve">Adjusted for R/C ratio and Balanced </t>
  </si>
  <si>
    <t>P</t>
  </si>
  <si>
    <t xml:space="preserve">    ELI 2P-RTP (base rate)</t>
  </si>
  <si>
    <t>ATL Classes</t>
  </si>
  <si>
    <t>Variable</t>
  </si>
  <si>
    <t xml:space="preserve"> Total</t>
  </si>
  <si>
    <t>Fuel Costs before Purchased Power</t>
  </si>
  <si>
    <t>Cost Allocation Factors</t>
  </si>
  <si>
    <t>Total</t>
  </si>
  <si>
    <t>Fuel Costs net of Purchased Power</t>
  </si>
  <si>
    <t>Small General</t>
  </si>
  <si>
    <t>General</t>
  </si>
  <si>
    <t>Large General</t>
  </si>
  <si>
    <t>Small Industrial</t>
  </si>
  <si>
    <t>Medium Industrial</t>
  </si>
  <si>
    <t>Large Industrial</t>
  </si>
  <si>
    <t>Municipal</t>
  </si>
  <si>
    <t>Unmetered</t>
  </si>
  <si>
    <t>Domestic</t>
  </si>
  <si>
    <t>ELI 2P-RTP</t>
  </si>
  <si>
    <t>ATL Total</t>
  </si>
  <si>
    <t>GRLF</t>
  </si>
  <si>
    <t xml:space="preserve">  kWh Sales</t>
  </si>
  <si>
    <t xml:space="preserve">  Admin Charge Revenues</t>
  </si>
  <si>
    <t xml:space="preserve">  Total Revenues</t>
  </si>
  <si>
    <t xml:space="preserve">   Fuel Costs</t>
  </si>
  <si>
    <t xml:space="preserve">ATL-related Fuel costs </t>
  </si>
  <si>
    <t>Fuel costs before PP</t>
  </si>
  <si>
    <t>N</t>
  </si>
  <si>
    <t>R</t>
  </si>
  <si>
    <t>S</t>
  </si>
  <si>
    <t>T</t>
  </si>
  <si>
    <t>Fixed</t>
  </si>
  <si>
    <t xml:space="preserve"> Energy-related</t>
  </si>
  <si>
    <t>Demand-related</t>
  </si>
  <si>
    <t>KW Demand</t>
  </si>
  <si>
    <t>Relative Shares</t>
  </si>
  <si>
    <t>KWh Energy</t>
  </si>
  <si>
    <t>Additional Energy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</si>
  <si>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</si>
  <si>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</si>
  <si>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</si>
  <si>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</si>
  <si>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</si>
  <si>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</si>
  <si>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</si>
  <si>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</si>
  <si>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</si>
  <si>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</si>
  <si>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</si>
  <si>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</si>
  <si>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Category</t>
  </si>
  <si>
    <t>kWh Sales</t>
  </si>
  <si>
    <t>Revenues</t>
  </si>
  <si>
    <t>BTL with AE (direct expenses)</t>
  </si>
  <si>
    <t>BTL Classes</t>
  </si>
  <si>
    <t>Export kWh Sales</t>
  </si>
  <si>
    <t>Domestic Non-TOU</t>
  </si>
  <si>
    <t>Domestic TOU</t>
  </si>
  <si>
    <t>Domestic Total</t>
  </si>
  <si>
    <t>BTL</t>
  </si>
  <si>
    <t>Exports</t>
  </si>
  <si>
    <t>ATL</t>
  </si>
  <si>
    <t>BTL Total</t>
  </si>
  <si>
    <t>Mersey</t>
  </si>
  <si>
    <t>Total w/o exports</t>
  </si>
  <si>
    <t>Purchased Power Regular</t>
  </si>
  <si>
    <t>Purchased Power Wind</t>
  </si>
  <si>
    <t xml:space="preserve">  DSM-related Revenues</t>
  </si>
  <si>
    <t>DSM Unit Costs</t>
  </si>
  <si>
    <t>Subtotal</t>
  </si>
  <si>
    <t>Fuel Related - Water Royalties</t>
  </si>
  <si>
    <t>Mersey contract Water Royalties</t>
  </si>
  <si>
    <t xml:space="preserve">    PP Wind</t>
  </si>
  <si>
    <t xml:space="preserve">    PP Regular</t>
  </si>
  <si>
    <t>U</t>
  </si>
  <si>
    <t>V</t>
  </si>
  <si>
    <t>Q</t>
  </si>
  <si>
    <t>W</t>
  </si>
  <si>
    <t>Z</t>
  </si>
  <si>
    <t>X</t>
  </si>
  <si>
    <t>Y</t>
  </si>
  <si>
    <t>G x J (line 29)</t>
  </si>
  <si>
    <t>G x K (line 29)</t>
  </si>
  <si>
    <t>K + L</t>
  </si>
  <si>
    <t>J + K + l</t>
  </si>
  <si>
    <t>G * O (line 29)</t>
  </si>
  <si>
    <t>G X P (line 29)</t>
  </si>
  <si>
    <t>E X Q (line 29)</t>
  </si>
  <si>
    <t>P + Q</t>
  </si>
  <si>
    <t>O + P + Q</t>
  </si>
  <si>
    <t>I + N + S</t>
  </si>
  <si>
    <t>G * U (line 29)</t>
  </si>
  <si>
    <t>Annual</t>
  </si>
  <si>
    <t xml:space="preserve">    14 MW block</t>
  </si>
  <si>
    <t xml:space="preserve">   GRLF </t>
  </si>
  <si>
    <t xml:space="preserve">   ELI 2P-RTP (debits &amp; credits only)</t>
  </si>
  <si>
    <t xml:space="preserve">   Mersey Basic Block  (Energy entitlements)</t>
  </si>
  <si>
    <t>Total Fuel Costs</t>
  </si>
  <si>
    <t>Unit Fuel rates</t>
  </si>
  <si>
    <t xml:space="preserve">  Debits</t>
  </si>
  <si>
    <t xml:space="preserve">  Credits</t>
  </si>
  <si>
    <t>OM&amp;G (Solid Fuel Handling) recovered in fuels</t>
  </si>
  <si>
    <t>Foreign Exchange (Fuel-related)</t>
  </si>
  <si>
    <t>ELI 2P-RTP Debits\Credits</t>
  </si>
  <si>
    <t>Export kWh Losses</t>
  </si>
  <si>
    <t>NSR</t>
  </si>
  <si>
    <t>In-province Sales</t>
  </si>
  <si>
    <t>Total Sales</t>
  </si>
  <si>
    <t>OM&amp;G costs recovered in fuels</t>
  </si>
  <si>
    <t>Total Fuel-related costs before Exports, OM&amp;G and Foreign Exchange</t>
  </si>
  <si>
    <t xml:space="preserve">Total Fuel-related costs </t>
  </si>
  <si>
    <t>AA</t>
  </si>
  <si>
    <t>AB</t>
  </si>
  <si>
    <t>E x L (line 29)</t>
  </si>
  <si>
    <t>G * V (line 29)</t>
  </si>
  <si>
    <t>G * W (line 29)</t>
  </si>
  <si>
    <t>T + U + V + W</t>
  </si>
  <si>
    <t>X x C</t>
  </si>
  <si>
    <t>AA / H</t>
  </si>
  <si>
    <t>Above-the-line Classes</t>
  </si>
  <si>
    <t>Puchased Power Allocation Factors.</t>
  </si>
  <si>
    <t>Below-the-line before Additional Energy</t>
  </si>
  <si>
    <t>Subtotal (BTL before AE &amp; Exports)</t>
  </si>
  <si>
    <t xml:space="preserve">   Total Below-the-line before Additional Energy</t>
  </si>
  <si>
    <t xml:space="preserve">    Fuel Costs  before PP</t>
  </si>
  <si>
    <t xml:space="preserve">    Residential Subtotal </t>
  </si>
  <si>
    <t xml:space="preserve">    Unmetered</t>
  </si>
  <si>
    <t>ELI 2P-RTP (Adjusted CBL)</t>
  </si>
  <si>
    <t>ELI2P-RTP Debits\Credits</t>
  </si>
  <si>
    <t xml:space="preserve">    Sections 2C and 2D</t>
  </si>
  <si>
    <t xml:space="preserve">    GR</t>
  </si>
  <si>
    <t xml:space="preserve">    LF</t>
  </si>
  <si>
    <t>AE total</t>
  </si>
  <si>
    <t>Mersey Basic Block</t>
  </si>
  <si>
    <t xml:space="preserve">    AE 14 MW block</t>
  </si>
  <si>
    <t xml:space="preserve">    AE Section 2C &amp; 2D</t>
  </si>
  <si>
    <t>Total GRLF</t>
  </si>
  <si>
    <t>Total Fuel Costs before New Page Gas Loss</t>
  </si>
  <si>
    <t>BTL before AE</t>
  </si>
  <si>
    <t>Total BTL Fuel Cost AE</t>
  </si>
  <si>
    <t>Fuel Costs excl. BTL bfr AE</t>
  </si>
  <si>
    <t xml:space="preserve">          Fuel Costs  before PP</t>
  </si>
  <si>
    <t xml:space="preserve">          PP Regular Costs</t>
  </si>
  <si>
    <t xml:space="preserve">          PP Wind Costs</t>
  </si>
  <si>
    <t xml:space="preserve">               Variable</t>
  </si>
  <si>
    <t xml:space="preserve">               Fixed Demand-related</t>
  </si>
  <si>
    <t xml:space="preserve">               Fixed Energy-related</t>
  </si>
  <si>
    <t xml:space="preserve">          Total</t>
  </si>
  <si>
    <t xml:space="preserve">               Total</t>
  </si>
  <si>
    <t xml:space="preserve">     AE Total</t>
  </si>
  <si>
    <t>GRL Admin Charge</t>
  </si>
  <si>
    <t>AE Multiplier</t>
  </si>
  <si>
    <t>LI AE fuel cost differential (c/kWh)</t>
  </si>
  <si>
    <t xml:space="preserve">kWh Sales </t>
  </si>
  <si>
    <t xml:space="preserve">Fuel Cost Allocators </t>
  </si>
  <si>
    <t>FOR THE YEAR ENDING DECEMBER 31, 2011</t>
  </si>
  <si>
    <t>Footnotes</t>
  </si>
  <si>
    <r>
      <t>R/C Ratios</t>
    </r>
    <r>
      <rPr>
        <b/>
        <vertAlign val="superscript"/>
        <sz val="12"/>
        <rFont val="Arial"/>
        <family val="2"/>
      </rPr>
      <t>(1)</t>
    </r>
  </si>
  <si>
    <r>
      <t>Energy Requirement</t>
    </r>
    <r>
      <rPr>
        <b/>
        <vertAlign val="superscript"/>
        <sz val="12"/>
        <rFont val="Arial"/>
        <family val="2"/>
      </rPr>
      <t>(2)</t>
    </r>
  </si>
  <si>
    <r>
      <t>kWhs Sales</t>
    </r>
    <r>
      <rPr>
        <b/>
        <vertAlign val="superscript"/>
        <sz val="12"/>
        <rFont val="Arial"/>
        <family val="2"/>
      </rPr>
      <t>(2)</t>
    </r>
  </si>
  <si>
    <r>
      <t>3 CP Demands</t>
    </r>
    <r>
      <rPr>
        <b/>
        <vertAlign val="superscript"/>
        <sz val="12"/>
        <rFont val="Arial"/>
        <family val="2"/>
      </rPr>
      <t>(2)</t>
    </r>
  </si>
  <si>
    <t>Base Cost of Fuel Cost of Service Allocation of Fuel Expenses among Rate Classes</t>
  </si>
  <si>
    <t>(2)  Source:  Forecast for 2011</t>
  </si>
  <si>
    <t>kWh requirements</t>
  </si>
  <si>
    <t>MONTHLY SYSTEM COINCIDENT PEAKS:  REQUIREMENTS, SALES, AND LOSSES BY RATE CLASS IN MWh PER HOUR</t>
  </si>
  <si>
    <t>Peak</t>
  </si>
  <si>
    <t>3CP</t>
  </si>
  <si>
    <t xml:space="preserve">    Residential non ToD</t>
  </si>
  <si>
    <t xml:space="preserve">    Residential ToD</t>
  </si>
  <si>
    <t xml:space="preserve">    Large Industrial With Interruptible</t>
  </si>
  <si>
    <t xml:space="preserve">    Large Industrial Firm</t>
  </si>
  <si>
    <t xml:space="preserve">    Large Industrial Interruptible Only</t>
  </si>
  <si>
    <t xml:space="preserve">    Gen. Repl. &amp; Load Follow.</t>
  </si>
  <si>
    <t xml:space="preserve">    Bowater Mersey</t>
  </si>
  <si>
    <t xml:space="preserve">    Mersey Additional Energy</t>
  </si>
  <si>
    <t xml:space="preserve">    ELI 2P-RTP</t>
  </si>
  <si>
    <t>NSR Peak:</t>
  </si>
  <si>
    <t>Rate Base</t>
  </si>
  <si>
    <t>Steam Plant</t>
  </si>
  <si>
    <t>Hydro Plant</t>
  </si>
  <si>
    <t>Wind Plant</t>
  </si>
  <si>
    <t>LM6000 Plant</t>
  </si>
  <si>
    <t>Gas Turbine Plant - Other</t>
  </si>
  <si>
    <t>Total Generation Plant</t>
  </si>
  <si>
    <t>General Property Plant</t>
  </si>
  <si>
    <t>Total Plant in Service</t>
  </si>
  <si>
    <t>2010</t>
  </si>
  <si>
    <t>2011</t>
  </si>
  <si>
    <t>Enviromental &amp; Fuel Conversion - CWIP</t>
  </si>
  <si>
    <t>Steam Plant - CWIP</t>
  </si>
  <si>
    <t>Environmental &amp; Fuel Conversion</t>
  </si>
  <si>
    <t>Hydro Plant - CWIP</t>
  </si>
  <si>
    <t>Wind Plant - CWIP</t>
  </si>
  <si>
    <t>Gas Turbine Plant</t>
  </si>
  <si>
    <t>Gas Turbine Plant - CWIP</t>
  </si>
  <si>
    <t>LM6000 Plant - CWIP</t>
  </si>
  <si>
    <t>General Property Plant - CWIP</t>
  </si>
  <si>
    <t>Average</t>
  </si>
  <si>
    <t>Dedicated Hydro Mersey Plant - Direct</t>
  </si>
  <si>
    <t>Initial Classification</t>
  </si>
  <si>
    <t>Total Company</t>
  </si>
  <si>
    <t>Demand</t>
  </si>
  <si>
    <t xml:space="preserve">Energy </t>
  </si>
  <si>
    <t>Customer</t>
  </si>
  <si>
    <t>Transmission Plant - CWIP</t>
  </si>
  <si>
    <t>Transmission Plant</t>
  </si>
  <si>
    <t>Distrbution Plant</t>
  </si>
  <si>
    <t>Further Classification</t>
  </si>
  <si>
    <t>System Coincident Load Factor</t>
  </si>
  <si>
    <t>Fully Classified</t>
  </si>
  <si>
    <t>Generation Rate Base</t>
  </si>
  <si>
    <t>% Var</t>
  </si>
  <si>
    <t>GRLF Total bfr MAE</t>
  </si>
  <si>
    <t>MAE fuel costs under LF</t>
  </si>
  <si>
    <t>MAE options (LIIR=1, LF=0)</t>
  </si>
  <si>
    <t>Total subject to FAM adj. (Above-the-line &amp; Additional Energy if under LIIR)</t>
  </si>
  <si>
    <t>Mersey System Total</t>
  </si>
  <si>
    <t>Mersey Section 2D related</t>
  </si>
  <si>
    <t>In-Province Total</t>
  </si>
  <si>
    <t>2P-RTP Increment. Energy Revenue</t>
  </si>
  <si>
    <t>2P-RTP Decrem. Energy Revenue</t>
  </si>
  <si>
    <t>Adjusted CBL</t>
  </si>
  <si>
    <t>2 PT RTP Incremental Energy Charges</t>
  </si>
  <si>
    <t>2 PT RTP Decremental Energy Rebates</t>
  </si>
  <si>
    <t>ELI-2P-RTP credits against MAE</t>
  </si>
  <si>
    <t>Total Debits\Credits</t>
  </si>
  <si>
    <t>Recovered Fuel Costs</t>
  </si>
  <si>
    <t>Simulated Collected Fuel Costs</t>
  </si>
  <si>
    <t>Variance</t>
  </si>
  <si>
    <t>Simulated Collected Fuel Costs for incentive calculations</t>
  </si>
  <si>
    <t>Simulated Interest expense calculations</t>
  </si>
  <si>
    <t>WACC</t>
  </si>
  <si>
    <t>Actual Fuel-related Costs</t>
  </si>
  <si>
    <t>Actual Fuel-related Cost Collections</t>
  </si>
  <si>
    <t>Cum Variance</t>
  </si>
  <si>
    <t>Interest Expense</t>
  </si>
  <si>
    <t>Cost of Service AA Calculations</t>
  </si>
  <si>
    <t>D - E</t>
  </si>
  <si>
    <t>Variance in Fuel Costs before Interest and Incentive</t>
  </si>
  <si>
    <t>Variance in Fuel Costs before  Incentive</t>
  </si>
  <si>
    <t xml:space="preserve">Variance in Fuel Costs </t>
  </si>
  <si>
    <t>Actual Fuel Costs</t>
  </si>
  <si>
    <t>Relative shares in total Variance</t>
  </si>
  <si>
    <t>Interest Amount</t>
  </si>
  <si>
    <t>Adjustment after interest</t>
  </si>
  <si>
    <t>Incentive Amount</t>
  </si>
  <si>
    <t>Adjustment after Incentive</t>
  </si>
  <si>
    <t>Forecast kWh Sales</t>
  </si>
  <si>
    <t>Cents per KWh</t>
  </si>
  <si>
    <t>Above the line Classes</t>
  </si>
  <si>
    <t xml:space="preserve">    Residential Subtotal</t>
  </si>
  <si>
    <t xml:space="preserve">   Above the line Subtotal / Average</t>
  </si>
  <si>
    <t>Fuel-related</t>
  </si>
  <si>
    <t>DSM revenue</t>
  </si>
  <si>
    <t>Mersey BB</t>
  </si>
  <si>
    <t>TSR</t>
  </si>
  <si>
    <t>Line Losses</t>
  </si>
  <si>
    <t>Line Loss Factors from the most recent GRA or BCFA</t>
  </si>
  <si>
    <t>Simulated Requirements bfr scaling</t>
  </si>
  <si>
    <t>TRS</t>
  </si>
  <si>
    <t>NSR (total sum)</t>
  </si>
  <si>
    <t>NSR simulated</t>
  </si>
  <si>
    <t>NSR actual</t>
  </si>
  <si>
    <t>NSR correction factor</t>
  </si>
  <si>
    <t>Simulated Requirements Scaled</t>
  </si>
  <si>
    <t>Additional Energy I</t>
  </si>
  <si>
    <t>Additional Energy II</t>
  </si>
  <si>
    <t xml:space="preserve">Additional Energy </t>
  </si>
  <si>
    <t xml:space="preserve">Variance (debit/credit) </t>
  </si>
  <si>
    <t>Additional Energy (LII option)</t>
  </si>
  <si>
    <t>Additional Energy (LF option)</t>
  </si>
  <si>
    <t>Foreign Exchange Interest Expense</t>
  </si>
  <si>
    <t>Total 1 (LIIR option)</t>
  </si>
  <si>
    <t>Total 2 (LF option)</t>
  </si>
  <si>
    <t xml:space="preserve">   Additional Energy (LF)</t>
  </si>
  <si>
    <t>Total subject to FAM adj. (ATL and AE if under LIIR)</t>
  </si>
  <si>
    <t>FOR THE YEAR ENDING DECEMBER 31, 2012</t>
  </si>
  <si>
    <t>Adjustment after reallocation of NPPH Share</t>
  </si>
  <si>
    <t>Reallocation of NPPH's AA Contribution to all rate classes</t>
  </si>
  <si>
    <t>Actual Adjustment after Reallocation of NPPH's AA</t>
  </si>
  <si>
    <t>(1)  Source:  COSS as per 2009 Compliance Filing</t>
  </si>
  <si>
    <t xml:space="preserve">Recovered Fuel Costs </t>
  </si>
  <si>
    <t>F / E</t>
  </si>
  <si>
    <t>F / F (Line 32)</t>
  </si>
  <si>
    <t>H x I (line 32)</t>
  </si>
  <si>
    <t>F + I</t>
  </si>
  <si>
    <t>H x K (line 32)</t>
  </si>
  <si>
    <t>J + K</t>
  </si>
  <si>
    <t>M x N (line32)</t>
  </si>
  <si>
    <t>L + N</t>
  </si>
  <si>
    <t>O / P</t>
  </si>
  <si>
    <t>Adjusted Relative Share (2)</t>
  </si>
  <si>
    <t>(2) Relative Shares (Column H) have been adjusted for the absence of New Page.  This adjustment is based on kilowatt sales</t>
  </si>
  <si>
    <t>(1) Additional Energy is priced under the LF rate in 2012 and therefore isn't subject to FAM responsibilities</t>
  </si>
  <si>
    <t>Total Electric Sales</t>
  </si>
  <si>
    <t>Export Losses</t>
  </si>
  <si>
    <t>Total In Province</t>
  </si>
  <si>
    <t>2011 Total</t>
  </si>
  <si>
    <t>Allocation of NPPH AA Share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</si>
</sst>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[$$-409]#,##0;[Red]\-[$$-409]#,##0"/>
    <numFmt numFmtId="170" formatCode="0.0%"/>
    <numFmt numFmtId="171" formatCode="[$$-1009]#,##0"/>
    <numFmt numFmtId="172" formatCode="&quot;$&quot;#,##0.00"/>
    <numFmt numFmtId="173" formatCode="#,##0.000000"/>
    <numFmt numFmtId="174" formatCode="_-* #,##0.00_-;\-* #,##0.00_-;_-* &quot;-&quot;??_-;_-@_-"/>
    <numFmt numFmtId="175" formatCode="_(&quot;$&quot;* #,##0.000_);_(&quot;$&quot;* \(#,##0.000\);_(&quot;$&quot;* &quot;-&quot;??_);_(@_)"/>
    <numFmt numFmtId="176" formatCode="[$$-409]#,##0_);\([$$-409]#,##0\)"/>
    <numFmt numFmtId="177" formatCode="_(&quot;$&quot;* #,##0_);_(&quot;$&quot;* \(#,##0\);_(&quot;$&quot;* &quot;-&quot;??_);_(@_)"/>
    <numFmt numFmtId="178" formatCode="0.0"/>
    <numFmt numFmtId="179" formatCode="&quot;$&quot;#,##0.000000_);\(&quot;$&quot;#,##0.000000\)"/>
    <numFmt numFmtId="180" formatCode="&quot;$&quot;#,##0.00000_);\(&quot;$&quot;#,##0.00000\)"/>
    <numFmt numFmtId="181" formatCode="&quot;$&quot;#,##0.0000_);\(&quot;$&quot;#,##0.0000\)"/>
    <numFmt numFmtId="182" formatCode="&quot;$&quot;#,##0.000_);\(&quot;$&quot;#,##0.000\)"/>
    <numFmt numFmtId="183" formatCode="&quot;$&quot;#,##0.0_);\(&quot;$&quot;#,##0.0\)"/>
    <numFmt numFmtId="184" formatCode="&quot;$&quot;#,##0.0_);[Red]\(&quot;$&quot;#,##0.0\)"/>
    <numFmt numFmtId="185" formatCode="&quot;$&quot;#,##0.00000_);[Red]\(&quot;$&quot;#,##0.00000\)"/>
    <numFmt numFmtId="186" formatCode="_(* #,##0.0_);_(* \(#,##0.0\);_(* &quot;-&quot;??_);_(@_)"/>
    <numFmt numFmtId="187" formatCode="_-&quot;$&quot;* #,##0.00_-;\-&quot;$&quot;* #,##0.00_-;_-&quot;$&quot;* &quot;-&quot;??_-;_-@_-"/>
    <numFmt numFmtId="188" formatCode="&quot;$&quot;#,##0.000_);[Red]\(&quot;$&quot;#,##0.000\)"/>
    <numFmt numFmtId="189" formatCode="&quot;$&quot;#,##0.0000_);[Red]\(&quot;$&quot;#,##0.0000\)"/>
    <numFmt numFmtId="190" formatCode="&quot;$&quot;#,##0.000000_);[Red]\(&quot;$&quot;#,##0.000000\)"/>
    <numFmt numFmtId="191" formatCode="[$-409]mmm\-yy;@"/>
    <numFmt numFmtId="192" formatCode="0.000"/>
    <numFmt numFmtId="193" formatCode="_-* #,##0.0_-;\-* #,##0.0_-;_-* &quot;-&quot;??_-;_-@_-"/>
    <numFmt numFmtId="194" formatCode="#,##0.0"/>
    <numFmt numFmtId="195" formatCode="_(* #,##0.0_);_(* \(#,##0.0\);_(* &quot;-&quot;???_);_(@_)"/>
    <numFmt numFmtId="196" formatCode="_(* #,##0.0_);_(* \(#,##0.0\);_(* &quot;-&quot;?_);_(@_)"/>
    <numFmt numFmtId="197" formatCode="_-&quot;$&quot;* #,##0_-;\-&quot;$&quot;* #,##0_-;_-&quot;$&quot;* &quot;-&quot;_-;_-@_-"/>
    <numFmt numFmtId="198" formatCode="_-* #,##0_-;\-* #,##0_-;_-* &quot;-&quot;_-;_-@_-"/>
    <numFmt numFmtId="199" formatCode="_-* #,##0_-;\-* #,##0_-;_-* &quot;-&quot;??_-;_-@_-"/>
    <numFmt numFmtId="200" formatCode="_-&quot;$&quot;* #,##0_-;\-&quot;$&quot;* #,##0_-;_-&quot;$&quot;* &quot;-&quot;??_-;_-@_-"/>
    <numFmt numFmtId="201" formatCode="000"/>
    <numFmt numFmtId="202" formatCode="0000"/>
    <numFmt numFmtId="203" formatCode="0.00000"/>
    <numFmt numFmtId="204" formatCode="#,##0.0000_);[Red]\(#,##0.0000\)"/>
    <numFmt numFmtId="205" formatCode="#,##0.000_);[Red]\(#,##0.000\)"/>
    <numFmt numFmtId="206" formatCode="mm/dd/yy_)"/>
    <numFmt numFmtId="207" formatCode="#,##0.00000_);[Red]\(#,##0.00000\)"/>
    <numFmt numFmtId="208" formatCode="yyyy"/>
    <numFmt numFmtId="209" formatCode="_-&quot;$&quot;* #,##0.00000000_-;\-&quot;$&quot;* #,##0.00000000_-;_-&quot;$&quot;* &quot;-&quot;??_-;_-@_-"/>
    <numFmt numFmtId="210" formatCode="_(* #,##0.000_);_(* \(#,##0.000\);_(* &quot;-&quot;???_);_(@_)"/>
  </numFmts>
  <fonts count="9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Accounting"/>
      <sz val="9"/>
      <name val="Arial"/>
      <family val="2"/>
    </font>
    <font>
      <u val="single"/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b/>
      <sz val="9"/>
      <color indexed="8"/>
      <name val="Arial"/>
      <family val="2"/>
    </font>
    <font>
      <u val="doubleAccounting"/>
      <sz val="9"/>
      <name val="Arial"/>
      <family val="2"/>
    </font>
    <font>
      <u val="doubleAccounting"/>
      <sz val="9"/>
      <color indexed="8"/>
      <name val="Arial"/>
      <family val="2"/>
    </font>
    <font>
      <b/>
      <u val="doubleAccounting"/>
      <sz val="9"/>
      <color indexed="8"/>
      <name val="Arial"/>
      <family val="2"/>
    </font>
    <font>
      <b/>
      <u val="doubleAccounting"/>
      <sz val="9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 val="singleAccounting"/>
      <sz val="10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doubleAccounting"/>
      <sz val="1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u val="single"/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vertAlign val="superscript"/>
      <sz val="12"/>
      <name val="Arial"/>
      <family val="2"/>
    </font>
    <font>
      <sz val="12"/>
      <name val="Arial MT"/>
      <family val="0"/>
    </font>
    <font>
      <u val="single"/>
      <sz val="12"/>
      <name val="Arial MT"/>
      <family val="0"/>
    </font>
    <font>
      <b/>
      <u val="doubleAccounting"/>
      <sz val="11"/>
      <color indexed="8"/>
      <name val="Arial"/>
      <family val="2"/>
    </font>
    <font>
      <b/>
      <sz val="4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 Narrow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52" fillId="3" borderId="0" applyNumberFormat="0" applyBorder="0" applyAlignment="0" applyProtection="0"/>
    <xf numFmtId="0" fontId="77" fillId="4" borderId="0" applyNumberFormat="0" applyBorder="0" applyAlignment="0" applyProtection="0"/>
    <xf numFmtId="0" fontId="52" fillId="5" borderId="0" applyNumberFormat="0" applyBorder="0" applyAlignment="0" applyProtection="0"/>
    <xf numFmtId="0" fontId="77" fillId="6" borderId="0" applyNumberFormat="0" applyBorder="0" applyAlignment="0" applyProtection="0"/>
    <xf numFmtId="0" fontId="52" fillId="7" borderId="0" applyNumberFormat="0" applyBorder="0" applyAlignment="0" applyProtection="0"/>
    <xf numFmtId="0" fontId="77" fillId="8" borderId="0" applyNumberFormat="0" applyBorder="0" applyAlignment="0" applyProtection="0"/>
    <xf numFmtId="0" fontId="52" fillId="9" borderId="0" applyNumberFormat="0" applyBorder="0" applyAlignment="0" applyProtection="0"/>
    <xf numFmtId="0" fontId="77" fillId="10" borderId="0" applyNumberFormat="0" applyBorder="0" applyAlignment="0" applyProtection="0"/>
    <xf numFmtId="0" fontId="52" fillId="11" borderId="0" applyNumberFormat="0" applyBorder="0" applyAlignment="0" applyProtection="0"/>
    <xf numFmtId="0" fontId="77" fillId="12" borderId="0" applyNumberFormat="0" applyBorder="0" applyAlignment="0" applyProtection="0"/>
    <xf numFmtId="0" fontId="52" fillId="13" borderId="0" applyNumberFormat="0" applyBorder="0" applyAlignment="0" applyProtection="0"/>
    <xf numFmtId="0" fontId="77" fillId="14" borderId="0" applyNumberFormat="0" applyBorder="0" applyAlignment="0" applyProtection="0"/>
    <xf numFmtId="0" fontId="52" fillId="15" borderId="0" applyNumberFormat="0" applyBorder="0" applyAlignment="0" applyProtection="0"/>
    <xf numFmtId="0" fontId="77" fillId="16" borderId="0" applyNumberFormat="0" applyBorder="0" applyAlignment="0" applyProtection="0"/>
    <xf numFmtId="0" fontId="52" fillId="17" borderId="0" applyNumberFormat="0" applyBorder="0" applyAlignment="0" applyProtection="0"/>
    <xf numFmtId="0" fontId="77" fillId="18" borderId="0" applyNumberFormat="0" applyBorder="0" applyAlignment="0" applyProtection="0"/>
    <xf numFmtId="0" fontId="52" fillId="19" borderId="0" applyNumberFormat="0" applyBorder="0" applyAlignment="0" applyProtection="0"/>
    <xf numFmtId="0" fontId="77" fillId="20" borderId="0" applyNumberFormat="0" applyBorder="0" applyAlignment="0" applyProtection="0"/>
    <xf numFmtId="0" fontId="52" fillId="9" borderId="0" applyNumberFormat="0" applyBorder="0" applyAlignment="0" applyProtection="0"/>
    <xf numFmtId="0" fontId="77" fillId="21" borderId="0" applyNumberFormat="0" applyBorder="0" applyAlignment="0" applyProtection="0"/>
    <xf numFmtId="0" fontId="52" fillId="15" borderId="0" applyNumberFormat="0" applyBorder="0" applyAlignment="0" applyProtection="0"/>
    <xf numFmtId="0" fontId="77" fillId="22" borderId="0" applyNumberFormat="0" applyBorder="0" applyAlignment="0" applyProtection="0"/>
    <xf numFmtId="0" fontId="52" fillId="23" borderId="0" applyNumberFormat="0" applyBorder="0" applyAlignment="0" applyProtection="0"/>
    <xf numFmtId="0" fontId="78" fillId="24" borderId="0" applyNumberFormat="0" applyBorder="0" applyAlignment="0" applyProtection="0"/>
    <xf numFmtId="0" fontId="53" fillId="25" borderId="0" applyNumberFormat="0" applyBorder="0" applyAlignment="0" applyProtection="0"/>
    <xf numFmtId="0" fontId="78" fillId="26" borderId="0" applyNumberFormat="0" applyBorder="0" applyAlignment="0" applyProtection="0"/>
    <xf numFmtId="0" fontId="53" fillId="17" borderId="0" applyNumberFormat="0" applyBorder="0" applyAlignment="0" applyProtection="0"/>
    <xf numFmtId="0" fontId="78" fillId="27" borderId="0" applyNumberFormat="0" applyBorder="0" applyAlignment="0" applyProtection="0"/>
    <xf numFmtId="0" fontId="53" fillId="19" borderId="0" applyNumberFormat="0" applyBorder="0" applyAlignment="0" applyProtection="0"/>
    <xf numFmtId="0" fontId="78" fillId="28" borderId="0" applyNumberFormat="0" applyBorder="0" applyAlignment="0" applyProtection="0"/>
    <xf numFmtId="0" fontId="53" fillId="29" borderId="0" applyNumberFormat="0" applyBorder="0" applyAlignment="0" applyProtection="0"/>
    <xf numFmtId="0" fontId="78" fillId="30" borderId="0" applyNumberFormat="0" applyBorder="0" applyAlignment="0" applyProtection="0"/>
    <xf numFmtId="0" fontId="53" fillId="31" borderId="0" applyNumberFormat="0" applyBorder="0" applyAlignment="0" applyProtection="0"/>
    <xf numFmtId="0" fontId="78" fillId="32" borderId="0" applyNumberFormat="0" applyBorder="0" applyAlignment="0" applyProtection="0"/>
    <xf numFmtId="0" fontId="53" fillId="33" borderId="0" applyNumberFormat="0" applyBorder="0" applyAlignment="0" applyProtection="0"/>
    <xf numFmtId="0" fontId="78" fillId="34" borderId="0" applyNumberFormat="0" applyBorder="0" applyAlignment="0" applyProtection="0"/>
    <xf numFmtId="0" fontId="53" fillId="35" borderId="0" applyNumberFormat="0" applyBorder="0" applyAlignment="0" applyProtection="0"/>
    <xf numFmtId="0" fontId="78" fillId="36" borderId="0" applyNumberFormat="0" applyBorder="0" applyAlignment="0" applyProtection="0"/>
    <xf numFmtId="0" fontId="53" fillId="37" borderId="0" applyNumberFormat="0" applyBorder="0" applyAlignment="0" applyProtection="0"/>
    <xf numFmtId="0" fontId="78" fillId="38" borderId="0" applyNumberFormat="0" applyBorder="0" applyAlignment="0" applyProtection="0"/>
    <xf numFmtId="0" fontId="53" fillId="39" borderId="0" applyNumberFormat="0" applyBorder="0" applyAlignment="0" applyProtection="0"/>
    <xf numFmtId="0" fontId="78" fillId="40" borderId="0" applyNumberFormat="0" applyBorder="0" applyAlignment="0" applyProtection="0"/>
    <xf numFmtId="0" fontId="53" fillId="29" borderId="0" applyNumberFormat="0" applyBorder="0" applyAlignment="0" applyProtection="0"/>
    <xf numFmtId="0" fontId="78" fillId="41" borderId="0" applyNumberFormat="0" applyBorder="0" applyAlignment="0" applyProtection="0"/>
    <xf numFmtId="0" fontId="53" fillId="31" borderId="0" applyNumberFormat="0" applyBorder="0" applyAlignment="0" applyProtection="0"/>
    <xf numFmtId="0" fontId="78" fillId="42" borderId="0" applyNumberFormat="0" applyBorder="0" applyAlignment="0" applyProtection="0"/>
    <xf numFmtId="0" fontId="53" fillId="43" borderId="0" applyNumberFormat="0" applyBorder="0" applyAlignment="0" applyProtection="0"/>
    <xf numFmtId="0" fontId="79" fillId="44" borderId="0" applyNumberFormat="0" applyBorder="0" applyAlignment="0" applyProtection="0"/>
    <xf numFmtId="0" fontId="54" fillId="5" borderId="0" applyNumberFormat="0" applyBorder="0" applyAlignment="0" applyProtection="0"/>
    <xf numFmtId="0" fontId="80" fillId="45" borderId="1" applyNumberFormat="0" applyAlignment="0" applyProtection="0"/>
    <xf numFmtId="0" fontId="55" fillId="46" borderId="2" applyNumberFormat="0" applyAlignment="0" applyProtection="0"/>
    <xf numFmtId="0" fontId="81" fillId="47" borderId="3" applyNumberFormat="0" applyAlignment="0" applyProtection="0"/>
    <xf numFmtId="0" fontId="5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2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58" fillId="7" borderId="0" applyNumberFormat="0" applyBorder="0" applyAlignment="0" applyProtection="0"/>
    <xf numFmtId="0" fontId="85" fillId="0" borderId="5" applyNumberFormat="0" applyFill="0" applyAlignment="0" applyProtection="0"/>
    <xf numFmtId="0" fontId="66" fillId="0" borderId="6" applyNumberFormat="0" applyFill="0" applyAlignment="0" applyProtection="0"/>
    <xf numFmtId="0" fontId="86" fillId="0" borderId="7" applyNumberFormat="0" applyFill="0" applyAlignment="0" applyProtection="0"/>
    <xf numFmtId="0" fontId="67" fillId="0" borderId="8" applyNumberFormat="0" applyFill="0" applyAlignment="0" applyProtection="0"/>
    <xf numFmtId="0" fontId="87" fillId="0" borderId="9" applyNumberFormat="0" applyFill="0" applyAlignment="0" applyProtection="0"/>
    <xf numFmtId="0" fontId="68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50" borderId="1" applyNumberFormat="0" applyAlignment="0" applyProtection="0"/>
    <xf numFmtId="0" fontId="59" fillId="13" borderId="2" applyNumberFormat="0" applyAlignment="0" applyProtection="0"/>
    <xf numFmtId="0" fontId="89" fillId="0" borderId="11" applyNumberFormat="0" applyFill="0" applyAlignment="0" applyProtection="0"/>
    <xf numFmtId="0" fontId="60" fillId="0" borderId="12" applyNumberFormat="0" applyFill="0" applyAlignment="0" applyProtection="0"/>
    <xf numFmtId="0" fontId="90" fillId="51" borderId="0" applyNumberFormat="0" applyBorder="0" applyAlignment="0" applyProtection="0"/>
    <xf numFmtId="0" fontId="6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2" fillId="0" borderId="0">
      <alignment/>
      <protection/>
    </xf>
    <xf numFmtId="0" fontId="77" fillId="0" borderId="0">
      <alignment/>
      <protection/>
    </xf>
    <xf numFmtId="0" fontId="5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91" fillId="45" borderId="15" applyNumberFormat="0" applyAlignment="0" applyProtection="0"/>
    <xf numFmtId="0" fontId="62" fillId="46" borderId="16" applyNumberFormat="0" applyAlignment="0" applyProtection="0"/>
    <xf numFmtId="40" fontId="34" fillId="55" borderId="0">
      <alignment horizontal="right"/>
      <protection/>
    </xf>
    <xf numFmtId="0" fontId="35" fillId="55" borderId="0">
      <alignment horizontal="right"/>
      <protection/>
    </xf>
    <xf numFmtId="0" fontId="36" fillId="55" borderId="17">
      <alignment/>
      <protection/>
    </xf>
    <xf numFmtId="0" fontId="36" fillId="0" borderId="0" applyBorder="0">
      <alignment horizontal="centerContinuous"/>
      <protection/>
    </xf>
    <xf numFmtId="0" fontId="3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3" fillId="0" borderId="18" applyNumberFormat="0" applyFill="0" applyAlignment="0" applyProtection="0"/>
    <xf numFmtId="0" fontId="63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55" borderId="20" xfId="0" applyFont="1" applyFill="1" applyBorder="1" applyAlignment="1">
      <alignment horizontal="center" wrapText="1"/>
    </xf>
    <xf numFmtId="0" fontId="1" fillId="55" borderId="17" xfId="0" applyFont="1" applyFill="1" applyBorder="1" applyAlignment="1">
      <alignment horizontal="center" wrapText="1"/>
    </xf>
    <xf numFmtId="0" fontId="1" fillId="55" borderId="0" xfId="0" applyFont="1" applyFill="1" applyBorder="1" applyAlignment="1">
      <alignment horizontal="center" wrapText="1"/>
    </xf>
    <xf numFmtId="169" fontId="9" fillId="56" borderId="20" xfId="0" applyNumberFormat="1" applyFont="1" applyFill="1" applyBorder="1" applyAlignment="1">
      <alignment horizontal="right" vertical="center"/>
    </xf>
    <xf numFmtId="169" fontId="9" fillId="56" borderId="0" xfId="0" applyNumberFormat="1" applyFont="1" applyFill="1" applyBorder="1" applyAlignment="1">
      <alignment horizontal="right" vertical="center"/>
    </xf>
    <xf numFmtId="169" fontId="9" fillId="56" borderId="17" xfId="0" applyNumberFormat="1" applyFont="1" applyFill="1" applyBorder="1" applyAlignment="1">
      <alignment horizontal="right" vertical="center"/>
    </xf>
    <xf numFmtId="169" fontId="7" fillId="56" borderId="20" xfId="0" applyNumberFormat="1" applyFont="1" applyFill="1" applyBorder="1" applyAlignment="1">
      <alignment horizontal="right" vertical="center"/>
    </xf>
    <xf numFmtId="169" fontId="7" fillId="56" borderId="0" xfId="0" applyNumberFormat="1" applyFont="1" applyFill="1" applyBorder="1" applyAlignment="1">
      <alignment horizontal="right" vertical="center"/>
    </xf>
    <xf numFmtId="169" fontId="7" fillId="56" borderId="17" xfId="0" applyNumberFormat="1" applyFont="1" applyFill="1" applyBorder="1" applyAlignment="1">
      <alignment horizontal="right" vertical="center"/>
    </xf>
    <xf numFmtId="169" fontId="10" fillId="56" borderId="20" xfId="0" applyNumberFormat="1" applyFont="1" applyFill="1" applyBorder="1" applyAlignment="1">
      <alignment horizontal="right" vertical="center"/>
    </xf>
    <xf numFmtId="169" fontId="10" fillId="56" borderId="0" xfId="0" applyNumberFormat="1" applyFont="1" applyFill="1" applyBorder="1" applyAlignment="1">
      <alignment horizontal="right" vertical="center"/>
    </xf>
    <xf numFmtId="169" fontId="10" fillId="56" borderId="17" xfId="0" applyNumberFormat="1" applyFont="1" applyFill="1" applyBorder="1" applyAlignment="1">
      <alignment horizontal="right" vertical="center"/>
    </xf>
    <xf numFmtId="0" fontId="1" fillId="55" borderId="21" xfId="0" applyFont="1" applyFill="1" applyBorder="1" applyAlignment="1">
      <alignment horizontal="center" wrapText="1"/>
    </xf>
    <xf numFmtId="170" fontId="7" fillId="56" borderId="0" xfId="127" applyNumberFormat="1" applyFont="1" applyFill="1" applyBorder="1" applyAlignment="1">
      <alignment horizontal="right" vertical="center"/>
    </xf>
    <xf numFmtId="170" fontId="9" fillId="56" borderId="0" xfId="127" applyNumberFormat="1" applyFont="1" applyFill="1" applyBorder="1" applyAlignment="1">
      <alignment horizontal="right" vertical="center"/>
    </xf>
    <xf numFmtId="169" fontId="13" fillId="56" borderId="0" xfId="0" applyNumberFormat="1" applyFont="1" applyFill="1" applyBorder="1" applyAlignment="1">
      <alignment horizontal="right" vertical="center"/>
    </xf>
    <xf numFmtId="169" fontId="13" fillId="56" borderId="17" xfId="0" applyNumberFormat="1" applyFont="1" applyFill="1" applyBorder="1" applyAlignment="1">
      <alignment horizontal="right" vertical="center"/>
    </xf>
    <xf numFmtId="169" fontId="14" fillId="56" borderId="20" xfId="0" applyNumberFormat="1" applyFont="1" applyFill="1" applyBorder="1" applyAlignment="1">
      <alignment horizontal="right" vertical="center"/>
    </xf>
    <xf numFmtId="169" fontId="14" fillId="56" borderId="0" xfId="0" applyNumberFormat="1" applyFont="1" applyFill="1" applyBorder="1" applyAlignment="1">
      <alignment horizontal="right" vertical="center"/>
    </xf>
    <xf numFmtId="169" fontId="14" fillId="56" borderId="17" xfId="0" applyNumberFormat="1" applyFont="1" applyFill="1" applyBorder="1" applyAlignment="1">
      <alignment horizontal="right" vertical="center"/>
    </xf>
    <xf numFmtId="169" fontId="13" fillId="56" borderId="22" xfId="0" applyNumberFormat="1" applyFont="1" applyFill="1" applyBorder="1" applyAlignment="1">
      <alignment horizontal="right" vertical="center"/>
    </xf>
    <xf numFmtId="169" fontId="13" fillId="56" borderId="23" xfId="0" applyNumberFormat="1" applyFont="1" applyFill="1" applyBorder="1" applyAlignment="1">
      <alignment horizontal="right" vertical="center"/>
    </xf>
    <xf numFmtId="169" fontId="13" fillId="56" borderId="24" xfId="0" applyNumberFormat="1" applyFont="1" applyFill="1" applyBorder="1" applyAlignment="1">
      <alignment horizontal="right" vertical="center"/>
    </xf>
    <xf numFmtId="0" fontId="1" fillId="55" borderId="25" xfId="0" applyFont="1" applyFill="1" applyBorder="1" applyAlignment="1">
      <alignment horizontal="center" wrapText="1"/>
    </xf>
    <xf numFmtId="0" fontId="1" fillId="55" borderId="26" xfId="0" applyFont="1" applyFill="1" applyBorder="1" applyAlignment="1">
      <alignment horizontal="center" wrapText="1"/>
    </xf>
    <xf numFmtId="0" fontId="1" fillId="55" borderId="27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55" borderId="28" xfId="0" applyFont="1" applyFill="1" applyBorder="1" applyAlignment="1">
      <alignment horizontal="center" wrapText="1"/>
    </xf>
    <xf numFmtId="0" fontId="3" fillId="55" borderId="0" xfId="0" applyFont="1" applyFill="1" applyBorder="1" applyAlignment="1">
      <alignment horizontal="center" wrapText="1"/>
    </xf>
    <xf numFmtId="0" fontId="0" fillId="55" borderId="0" xfId="0" applyFill="1" applyAlignment="1">
      <alignment/>
    </xf>
    <xf numFmtId="164" fontId="0" fillId="55" borderId="0" xfId="69" applyNumberFormat="1" applyFont="1" applyFill="1" applyAlignment="1">
      <alignment/>
    </xf>
    <xf numFmtId="164" fontId="0" fillId="55" borderId="0" xfId="0" applyNumberFormat="1" applyFill="1" applyAlignment="1">
      <alignment/>
    </xf>
    <xf numFmtId="6" fontId="14" fillId="56" borderId="0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55" borderId="0" xfId="0" applyFill="1" applyAlignment="1">
      <alignment horizontal="center"/>
    </xf>
    <xf numFmtId="0" fontId="0" fillId="55" borderId="0" xfId="0" applyFill="1" applyAlignment="1">
      <alignment horizontal="center" wrapText="1"/>
    </xf>
    <xf numFmtId="0" fontId="28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 wrapText="1"/>
    </xf>
    <xf numFmtId="0" fontId="0" fillId="55" borderId="0" xfId="0" applyFill="1" applyBorder="1" applyAlignment="1">
      <alignment/>
    </xf>
    <xf numFmtId="0" fontId="1" fillId="55" borderId="29" xfId="0" applyFont="1" applyFill="1" applyBorder="1" applyAlignment="1">
      <alignment/>
    </xf>
    <xf numFmtId="0" fontId="18" fillId="55" borderId="30" xfId="0" applyFont="1" applyFill="1" applyBorder="1" applyAlignment="1">
      <alignment horizontal="center"/>
    </xf>
    <xf numFmtId="0" fontId="3" fillId="55" borderId="23" xfId="0" applyFont="1" applyFill="1" applyBorder="1" applyAlignment="1">
      <alignment horizontal="center" wrapText="1"/>
    </xf>
    <xf numFmtId="0" fontId="1" fillId="55" borderId="29" xfId="0" applyFont="1" applyFill="1" applyBorder="1" applyAlignment="1">
      <alignment horizontal="center"/>
    </xf>
    <xf numFmtId="0" fontId="1" fillId="55" borderId="21" xfId="0" applyFont="1" applyFill="1" applyBorder="1" applyAlignment="1">
      <alignment horizontal="center"/>
    </xf>
    <xf numFmtId="0" fontId="1" fillId="55" borderId="29" xfId="0" applyFont="1" applyFill="1" applyBorder="1" applyAlignment="1">
      <alignment horizontal="left"/>
    </xf>
    <xf numFmtId="0" fontId="0" fillId="55" borderId="29" xfId="0" applyFill="1" applyBorder="1" applyAlignment="1">
      <alignment/>
    </xf>
    <xf numFmtId="0" fontId="0" fillId="55" borderId="21" xfId="0" applyFill="1" applyBorder="1" applyAlignment="1">
      <alignment/>
    </xf>
    <xf numFmtId="0" fontId="0" fillId="55" borderId="17" xfId="0" applyFill="1" applyBorder="1" applyAlignment="1">
      <alignment/>
    </xf>
    <xf numFmtId="0" fontId="6" fillId="55" borderId="2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6" fillId="55" borderId="17" xfId="0" applyFont="1" applyFill="1" applyBorder="1" applyAlignment="1">
      <alignment/>
    </xf>
    <xf numFmtId="0" fontId="0" fillId="55" borderId="31" xfId="0" applyFont="1" applyFill="1" applyBorder="1" applyAlignment="1">
      <alignment/>
    </xf>
    <xf numFmtId="0" fontId="0" fillId="55" borderId="31" xfId="0" applyFill="1" applyBorder="1" applyAlignment="1">
      <alignment/>
    </xf>
    <xf numFmtId="0" fontId="0" fillId="55" borderId="20" xfId="0" applyFill="1" applyBorder="1" applyAlignment="1">
      <alignment/>
    </xf>
    <xf numFmtId="169" fontId="0" fillId="55" borderId="17" xfId="0" applyNumberFormat="1" applyFill="1" applyBorder="1" applyAlignment="1">
      <alignment/>
    </xf>
    <xf numFmtId="169" fontId="0" fillId="55" borderId="0" xfId="0" applyNumberFormat="1" applyFill="1" applyBorder="1" applyAlignment="1">
      <alignment/>
    </xf>
    <xf numFmtId="170" fontId="1" fillId="55" borderId="20" xfId="127" applyNumberFormat="1" applyFont="1" applyFill="1" applyBorder="1" applyAlignment="1">
      <alignment/>
    </xf>
    <xf numFmtId="170" fontId="1" fillId="55" borderId="22" xfId="127" applyNumberFormat="1" applyFont="1" applyFill="1" applyBorder="1" applyAlignment="1">
      <alignment/>
    </xf>
    <xf numFmtId="170" fontId="1" fillId="55" borderId="23" xfId="127" applyNumberFormat="1" applyFont="1" applyFill="1" applyBorder="1" applyAlignment="1">
      <alignment/>
    </xf>
    <xf numFmtId="170" fontId="1" fillId="55" borderId="24" xfId="127" applyNumberFormat="1" applyFont="1" applyFill="1" applyBorder="1" applyAlignment="1">
      <alignment/>
    </xf>
    <xf numFmtId="170" fontId="1" fillId="55" borderId="0" xfId="127" applyNumberFormat="1" applyFont="1" applyFill="1" applyBorder="1" applyAlignment="1">
      <alignment/>
    </xf>
    <xf numFmtId="170" fontId="0" fillId="55" borderId="21" xfId="127" applyNumberFormat="1" applyFont="1" applyFill="1" applyBorder="1" applyAlignment="1">
      <alignment/>
    </xf>
    <xf numFmtId="169" fontId="0" fillId="55" borderId="20" xfId="0" applyNumberFormat="1" applyFill="1" applyBorder="1" applyAlignment="1">
      <alignment/>
    </xf>
    <xf numFmtId="0" fontId="0" fillId="55" borderId="0" xfId="0" applyFill="1" applyBorder="1" applyAlignment="1">
      <alignment horizontal="right"/>
    </xf>
    <xf numFmtId="169" fontId="23" fillId="55" borderId="20" xfId="0" applyNumberFormat="1" applyFont="1" applyFill="1" applyBorder="1" applyAlignment="1">
      <alignment/>
    </xf>
    <xf numFmtId="169" fontId="23" fillId="55" borderId="0" xfId="0" applyNumberFormat="1" applyFont="1" applyFill="1" applyBorder="1" applyAlignment="1">
      <alignment/>
    </xf>
    <xf numFmtId="0" fontId="1" fillId="55" borderId="31" xfId="0" applyFont="1" applyFill="1" applyBorder="1" applyAlignment="1">
      <alignment horizontal="center" wrapText="1"/>
    </xf>
    <xf numFmtId="0" fontId="1" fillId="55" borderId="21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" fillId="55" borderId="31" xfId="0" applyFont="1" applyFill="1" applyBorder="1" applyAlignment="1">
      <alignment/>
    </xf>
    <xf numFmtId="0" fontId="0" fillId="55" borderId="32" xfId="0" applyFill="1" applyBorder="1" applyAlignment="1">
      <alignment/>
    </xf>
    <xf numFmtId="0" fontId="0" fillId="55" borderId="33" xfId="0" applyFill="1" applyBorder="1" applyAlignment="1">
      <alignment/>
    </xf>
    <xf numFmtId="0" fontId="0" fillId="55" borderId="34" xfId="0" applyFill="1" applyBorder="1" applyAlignment="1">
      <alignment/>
    </xf>
    <xf numFmtId="0" fontId="0" fillId="55" borderId="35" xfId="0" applyFill="1" applyBorder="1" applyAlignment="1">
      <alignment/>
    </xf>
    <xf numFmtId="0" fontId="0" fillId="55" borderId="36" xfId="0" applyFill="1" applyBorder="1" applyAlignment="1">
      <alignment/>
    </xf>
    <xf numFmtId="169" fontId="0" fillId="55" borderId="0" xfId="0" applyNumberFormat="1" applyFill="1" applyAlignment="1">
      <alignment/>
    </xf>
    <xf numFmtId="6" fontId="7" fillId="56" borderId="20" xfId="0" applyNumberFormat="1" applyFont="1" applyFill="1" applyBorder="1" applyAlignment="1">
      <alignment horizontal="right" vertical="center"/>
    </xf>
    <xf numFmtId="6" fontId="0" fillId="55" borderId="20" xfId="0" applyNumberFormat="1" applyFill="1" applyBorder="1" applyAlignment="1">
      <alignment/>
    </xf>
    <xf numFmtId="6" fontId="0" fillId="55" borderId="0" xfId="0" applyNumberFormat="1" applyFill="1" applyBorder="1" applyAlignment="1">
      <alignment/>
    </xf>
    <xf numFmtId="6" fontId="0" fillId="55" borderId="17" xfId="0" applyNumberFormat="1" applyFill="1" applyBorder="1" applyAlignment="1">
      <alignment/>
    </xf>
    <xf numFmtId="6" fontId="7" fillId="56" borderId="17" xfId="0" applyNumberFormat="1" applyFont="1" applyFill="1" applyBorder="1" applyAlignment="1">
      <alignment horizontal="right" vertical="center"/>
    </xf>
    <xf numFmtId="6" fontId="7" fillId="56" borderId="0" xfId="0" applyNumberFormat="1" applyFont="1" applyFill="1" applyBorder="1" applyAlignment="1">
      <alignment horizontal="right" vertical="center"/>
    </xf>
    <xf numFmtId="6" fontId="15" fillId="55" borderId="21" xfId="69" applyNumberFormat="1" applyFont="1" applyFill="1" applyBorder="1" applyAlignment="1">
      <alignment/>
    </xf>
    <xf numFmtId="6" fontId="15" fillId="55" borderId="20" xfId="69" applyNumberFormat="1" applyFont="1" applyFill="1" applyBorder="1" applyAlignment="1">
      <alignment/>
    </xf>
    <xf numFmtId="6" fontId="15" fillId="55" borderId="0" xfId="69" applyNumberFormat="1" applyFont="1" applyFill="1" applyBorder="1" applyAlignment="1">
      <alignment/>
    </xf>
    <xf numFmtId="6" fontId="16" fillId="55" borderId="20" xfId="0" applyNumberFormat="1" applyFont="1" applyFill="1" applyBorder="1" applyAlignment="1">
      <alignment/>
    </xf>
    <xf numFmtId="6" fontId="16" fillId="55" borderId="0" xfId="0" applyNumberFormat="1" applyFont="1" applyFill="1" applyBorder="1" applyAlignment="1">
      <alignment/>
    </xf>
    <xf numFmtId="6" fontId="16" fillId="55" borderId="17" xfId="0" applyNumberFormat="1" applyFont="1" applyFill="1" applyBorder="1" applyAlignment="1">
      <alignment/>
    </xf>
    <xf numFmtId="0" fontId="3" fillId="55" borderId="0" xfId="0" applyFont="1" applyFill="1" applyAlignment="1">
      <alignment horizontal="center"/>
    </xf>
    <xf numFmtId="170" fontId="0" fillId="0" borderId="0" xfId="127" applyNumberFormat="1" applyFont="1" applyFill="1" applyBorder="1" applyAlignment="1">
      <alignment/>
    </xf>
    <xf numFmtId="170" fontId="0" fillId="0" borderId="21" xfId="127" applyNumberFormat="1" applyFont="1" applyFill="1" applyBorder="1" applyAlignment="1">
      <alignment/>
    </xf>
    <xf numFmtId="164" fontId="6" fillId="0" borderId="21" xfId="69" applyNumberFormat="1" applyFont="1" applyFill="1" applyBorder="1" applyAlignment="1">
      <alignment/>
    </xf>
    <xf numFmtId="164" fontId="6" fillId="0" borderId="17" xfId="69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20" xfId="0" applyNumberFormat="1" applyFont="1" applyFill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169" fontId="0" fillId="0" borderId="0" xfId="0" applyNumberFormat="1" applyFill="1" applyBorder="1" applyAlignment="1">
      <alignment/>
    </xf>
    <xf numFmtId="164" fontId="8" fillId="0" borderId="17" xfId="69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 horizontal="right" vertical="center"/>
    </xf>
    <xf numFmtId="169" fontId="10" fillId="0" borderId="20" xfId="0" applyNumberFormat="1" applyFont="1" applyFill="1" applyBorder="1" applyAlignment="1">
      <alignment horizontal="right" vertical="center"/>
    </xf>
    <xf numFmtId="169" fontId="9" fillId="0" borderId="1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center"/>
    </xf>
    <xf numFmtId="169" fontId="9" fillId="0" borderId="20" xfId="0" applyNumberFormat="1" applyFont="1" applyFill="1" applyBorder="1" applyAlignment="1">
      <alignment horizontal="right" vertical="center"/>
    </xf>
    <xf numFmtId="164" fontId="12" fillId="0" borderId="17" xfId="69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 horizontal="right" vertical="center"/>
    </xf>
    <xf numFmtId="169" fontId="13" fillId="0" borderId="20" xfId="0" applyNumberFormat="1" applyFont="1" applyFill="1" applyBorder="1" applyAlignment="1">
      <alignment horizontal="right" vertical="center"/>
    </xf>
    <xf numFmtId="169" fontId="13" fillId="0" borderId="17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0" fontId="0" fillId="55" borderId="37" xfId="0" applyFill="1" applyBorder="1" applyAlignment="1">
      <alignment/>
    </xf>
    <xf numFmtId="0" fontId="20" fillId="55" borderId="0" xfId="0" applyFont="1" applyFill="1" applyAlignment="1">
      <alignment/>
    </xf>
    <xf numFmtId="5" fontId="16" fillId="55" borderId="0" xfId="0" applyNumberFormat="1" applyFont="1" applyFill="1" applyBorder="1" applyAlignment="1">
      <alignment/>
    </xf>
    <xf numFmtId="176" fontId="7" fillId="56" borderId="0" xfId="0" applyNumberFormat="1" applyFont="1" applyFill="1" applyBorder="1" applyAlignment="1">
      <alignment horizontal="right" vertical="center"/>
    </xf>
    <xf numFmtId="176" fontId="10" fillId="56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164" fontId="8" fillId="0" borderId="21" xfId="69" applyNumberFormat="1" applyFont="1" applyFill="1" applyBorder="1" applyAlignment="1">
      <alignment/>
    </xf>
    <xf numFmtId="170" fontId="6" fillId="0" borderId="17" xfId="127" applyNumberFormat="1" applyFont="1" applyFill="1" applyBorder="1" applyAlignment="1">
      <alignment/>
    </xf>
    <xf numFmtId="170" fontId="26" fillId="0" borderId="17" xfId="127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1" xfId="69" applyNumberFormat="1" applyFont="1" applyFill="1" applyBorder="1" applyAlignment="1">
      <alignment/>
    </xf>
    <xf numFmtId="170" fontId="0" fillId="0" borderId="0" xfId="127" applyNumberFormat="1" applyFont="1" applyFill="1" applyBorder="1" applyAlignment="1" applyProtection="1">
      <alignment/>
      <protection locked="0"/>
    </xf>
    <xf numFmtId="164" fontId="17" fillId="0" borderId="21" xfId="69" applyNumberFormat="1" applyFont="1" applyFill="1" applyBorder="1" applyAlignment="1">
      <alignment/>
    </xf>
    <xf numFmtId="170" fontId="0" fillId="0" borderId="0" xfId="127" applyNumberFormat="1" applyFont="1" applyFill="1" applyBorder="1" applyAlignment="1" applyProtection="1">
      <alignment/>
      <protection hidden="1"/>
    </xf>
    <xf numFmtId="164" fontId="29" fillId="0" borderId="21" xfId="69" applyNumberFormat="1" applyFont="1" applyFill="1" applyBorder="1" applyAlignment="1">
      <alignment/>
    </xf>
    <xf numFmtId="164" fontId="15" fillId="0" borderId="21" xfId="69" applyNumberFormat="1" applyFont="1" applyFill="1" applyBorder="1" applyAlignment="1">
      <alignment/>
    </xf>
    <xf numFmtId="164" fontId="1" fillId="0" borderId="21" xfId="69" applyNumberFormat="1" applyFont="1" applyFill="1" applyBorder="1" applyAlignment="1">
      <alignment/>
    </xf>
    <xf numFmtId="164" fontId="15" fillId="0" borderId="17" xfId="69" applyNumberFormat="1" applyFont="1" applyFill="1" applyBorder="1" applyAlignment="1">
      <alignment/>
    </xf>
    <xf numFmtId="164" fontId="12" fillId="0" borderId="21" xfId="69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1" fillId="55" borderId="0" xfId="69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41" xfId="0" applyBorder="1" applyAlignment="1">
      <alignment/>
    </xf>
    <xf numFmtId="0" fontId="0" fillId="0" borderId="38" xfId="0" applyFill="1" applyBorder="1" applyAlignment="1">
      <alignment/>
    </xf>
    <xf numFmtId="0" fontId="1" fillId="0" borderId="31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8" fillId="0" borderId="4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6" fontId="1" fillId="0" borderId="20" xfId="69" applyNumberFormat="1" applyFont="1" applyBorder="1" applyAlignment="1">
      <alignment horizontal="right"/>
    </xf>
    <xf numFmtId="6" fontId="46" fillId="56" borderId="0" xfId="69" applyNumberFormat="1" applyFont="1" applyFill="1" applyBorder="1" applyAlignment="1">
      <alignment vertical="center"/>
    </xf>
    <xf numFmtId="10" fontId="46" fillId="0" borderId="0" xfId="127" applyNumberFormat="1" applyFont="1" applyFill="1" applyBorder="1" applyAlignment="1">
      <alignment horizontal="right" vertical="center"/>
    </xf>
    <xf numFmtId="10" fontId="46" fillId="0" borderId="17" xfId="127" applyNumberFormat="1" applyFont="1" applyFill="1" applyBorder="1" applyAlignment="1">
      <alignment horizontal="right" vertical="center"/>
    </xf>
    <xf numFmtId="6" fontId="1" fillId="0" borderId="20" xfId="69" applyNumberFormat="1" applyFont="1" applyBorder="1" applyAlignment="1">
      <alignment/>
    </xf>
    <xf numFmtId="6" fontId="1" fillId="0" borderId="17" xfId="69" applyNumberFormat="1" applyFont="1" applyBorder="1" applyAlignment="1">
      <alignment/>
    </xf>
    <xf numFmtId="6" fontId="1" fillId="0" borderId="0" xfId="69" applyNumberFormat="1" applyFont="1" applyBorder="1" applyAlignment="1">
      <alignment/>
    </xf>
    <xf numFmtId="6" fontId="46" fillId="56" borderId="20" xfId="69" applyNumberFormat="1" applyFont="1" applyFill="1" applyBorder="1" applyAlignment="1">
      <alignment vertical="center"/>
    </xf>
    <xf numFmtId="6" fontId="46" fillId="0" borderId="17" xfId="127" applyNumberFormat="1" applyFont="1" applyFill="1" applyBorder="1" applyAlignment="1">
      <alignment horizontal="right" vertical="center"/>
    </xf>
    <xf numFmtId="6" fontId="46" fillId="0" borderId="0" xfId="127" applyNumberFormat="1" applyFont="1" applyFill="1" applyBorder="1" applyAlignment="1">
      <alignment horizontal="right" vertical="center"/>
    </xf>
    <xf numFmtId="164" fontId="0" fillId="0" borderId="20" xfId="69" applyNumberFormat="1" applyFont="1" applyBorder="1" applyAlignment="1">
      <alignment/>
    </xf>
    <xf numFmtId="165" fontId="0" fillId="0" borderId="17" xfId="0" applyNumberFormat="1" applyBorder="1" applyAlignment="1">
      <alignment/>
    </xf>
    <xf numFmtId="10" fontId="7" fillId="56" borderId="40" xfId="127" applyNumberFormat="1" applyFont="1" applyFill="1" applyBorder="1" applyAlignment="1">
      <alignment horizontal="right" vertical="center"/>
    </xf>
    <xf numFmtId="6" fontId="38" fillId="0" borderId="20" xfId="69" applyNumberFormat="1" applyFont="1" applyBorder="1" applyAlignment="1">
      <alignment horizontal="right"/>
    </xf>
    <xf numFmtId="6" fontId="47" fillId="56" borderId="0" xfId="69" applyNumberFormat="1" applyFont="1" applyFill="1" applyBorder="1" applyAlignment="1">
      <alignment vertical="center"/>
    </xf>
    <xf numFmtId="10" fontId="48" fillId="0" borderId="0" xfId="127" applyNumberFormat="1" applyFont="1" applyFill="1" applyBorder="1" applyAlignment="1">
      <alignment horizontal="right" vertical="center"/>
    </xf>
    <xf numFmtId="10" fontId="10" fillId="56" borderId="40" xfId="127" applyNumberFormat="1" applyFont="1" applyFill="1" applyBorder="1" applyAlignment="1">
      <alignment horizontal="right" vertical="center"/>
    </xf>
    <xf numFmtId="10" fontId="0" fillId="0" borderId="40" xfId="127" applyNumberFormat="1" applyFont="1" applyBorder="1" applyAlignment="1">
      <alignment/>
    </xf>
    <xf numFmtId="6" fontId="1" fillId="0" borderId="20" xfId="0" applyNumberFormat="1" applyFont="1" applyBorder="1" applyAlignment="1">
      <alignment horizontal="right"/>
    </xf>
    <xf numFmtId="6" fontId="1" fillId="0" borderId="0" xfId="0" applyNumberFormat="1" applyFont="1" applyBorder="1" applyAlignment="1">
      <alignment horizontal="right"/>
    </xf>
    <xf numFmtId="6" fontId="46" fillId="0" borderId="20" xfId="127" applyNumberFormat="1" applyFont="1" applyFill="1" applyBorder="1" applyAlignment="1">
      <alignment horizontal="right" vertical="center"/>
    </xf>
    <xf numFmtId="10" fontId="46" fillId="0" borderId="20" xfId="127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wrapText="1"/>
    </xf>
    <xf numFmtId="6" fontId="1" fillId="0" borderId="17" xfId="69" applyNumberFormat="1" applyFont="1" applyFill="1" applyBorder="1" applyAlignment="1">
      <alignment/>
    </xf>
    <xf numFmtId="6" fontId="1" fillId="0" borderId="0" xfId="69" applyNumberFormat="1" applyFont="1" applyFill="1" applyBorder="1" applyAlignment="1">
      <alignment/>
    </xf>
    <xf numFmtId="6" fontId="14" fillId="56" borderId="2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2" xfId="69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5" xfId="0" applyFill="1" applyBorder="1" applyAlignment="1">
      <alignment/>
    </xf>
    <xf numFmtId="6" fontId="49" fillId="0" borderId="0" xfId="0" applyNumberFormat="1" applyFont="1" applyAlignment="1">
      <alignment/>
    </xf>
    <xf numFmtId="172" fontId="50" fillId="0" borderId="0" xfId="116" applyNumberFormat="1" applyFont="1">
      <alignment/>
      <protection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167" fontId="0" fillId="0" borderId="17" xfId="0" applyNumberFormat="1" applyBorder="1" applyAlignment="1">
      <alignment/>
    </xf>
    <xf numFmtId="6" fontId="0" fillId="0" borderId="17" xfId="0" applyNumberFormat="1" applyBorder="1" applyAlignment="1">
      <alignment/>
    </xf>
    <xf numFmtId="6" fontId="0" fillId="0" borderId="0" xfId="0" applyNumberFormat="1" applyBorder="1" applyAlignment="1">
      <alignment/>
    </xf>
    <xf numFmtId="0" fontId="20" fillId="55" borderId="0" xfId="0" applyFont="1" applyFill="1" applyAlignment="1">
      <alignment/>
    </xf>
    <xf numFmtId="164" fontId="0" fillId="0" borderId="20" xfId="69" applyNumberFormat="1" applyBorder="1" applyAlignment="1">
      <alignment/>
    </xf>
    <xf numFmtId="164" fontId="1" fillId="0" borderId="20" xfId="69" applyNumberFormat="1" applyFont="1" applyFill="1" applyBorder="1" applyAlignment="1">
      <alignment/>
    </xf>
    <xf numFmtId="6" fontId="0" fillId="0" borderId="17" xfId="0" applyNumberFormat="1" applyFill="1" applyBorder="1" applyAlignment="1">
      <alignment/>
    </xf>
    <xf numFmtId="164" fontId="0" fillId="0" borderId="20" xfId="69" applyNumberFormat="1" applyFill="1" applyBorder="1" applyAlignment="1">
      <alignment/>
    </xf>
    <xf numFmtId="0" fontId="0" fillId="0" borderId="0" xfId="0" applyFont="1" applyAlignment="1">
      <alignment/>
    </xf>
    <xf numFmtId="190" fontId="0" fillId="0" borderId="0" xfId="0" applyNumberFormat="1" applyAlignment="1">
      <alignment/>
    </xf>
    <xf numFmtId="170" fontId="0" fillId="55" borderId="0" xfId="127" applyNumberFormat="1" applyFont="1" applyFill="1" applyBorder="1" applyAlignment="1">
      <alignment/>
    </xf>
    <xf numFmtId="170" fontId="0" fillId="0" borderId="0" xfId="127" applyNumberFormat="1" applyFont="1" applyAlignment="1">
      <alignment/>
    </xf>
    <xf numFmtId="0" fontId="0" fillId="57" borderId="0" xfId="0" applyFill="1" applyAlignment="1">
      <alignment/>
    </xf>
    <xf numFmtId="0" fontId="1" fillId="57" borderId="0" xfId="0" applyFont="1" applyFill="1" applyAlignment="1">
      <alignment/>
    </xf>
    <xf numFmtId="164" fontId="1" fillId="57" borderId="0" xfId="69" applyNumberFormat="1" applyFont="1" applyFill="1" applyAlignment="1">
      <alignment/>
    </xf>
    <xf numFmtId="164" fontId="0" fillId="57" borderId="0" xfId="69" applyNumberFormat="1" applyFont="1" applyFill="1" applyAlignment="1">
      <alignment/>
    </xf>
    <xf numFmtId="6" fontId="46" fillId="58" borderId="0" xfId="69" applyNumberFormat="1" applyFont="1" applyFill="1" applyBorder="1" applyAlignment="1">
      <alignment vertical="center"/>
    </xf>
    <xf numFmtId="175" fontId="2" fillId="57" borderId="0" xfId="0" applyNumberFormat="1" applyFont="1" applyFill="1" applyBorder="1" applyAlignment="1">
      <alignment horizontal="center" vertical="top"/>
    </xf>
    <xf numFmtId="164" fontId="0" fillId="57" borderId="0" xfId="0" applyNumberFormat="1" applyFill="1" applyAlignment="1">
      <alignment/>
    </xf>
    <xf numFmtId="0" fontId="0" fillId="57" borderId="0" xfId="0" applyFill="1" applyBorder="1" applyAlignment="1">
      <alignment/>
    </xf>
    <xf numFmtId="0" fontId="1" fillId="57" borderId="0" xfId="0" applyFont="1" applyFill="1" applyBorder="1" applyAlignment="1">
      <alignment/>
    </xf>
    <xf numFmtId="6" fontId="1" fillId="57" borderId="0" xfId="0" applyNumberFormat="1" applyFont="1" applyFill="1" applyBorder="1" applyAlignment="1">
      <alignment/>
    </xf>
    <xf numFmtId="6" fontId="1" fillId="57" borderId="0" xfId="127" applyNumberFormat="1" applyFont="1" applyFill="1" applyBorder="1" applyAlignment="1">
      <alignment/>
    </xf>
    <xf numFmtId="6" fontId="0" fillId="57" borderId="0" xfId="0" applyNumberFormat="1" applyFill="1" applyBorder="1" applyAlignment="1">
      <alignment/>
    </xf>
    <xf numFmtId="164" fontId="1" fillId="57" borderId="0" xfId="69" applyNumberFormat="1" applyFont="1" applyFill="1" applyBorder="1" applyAlignment="1">
      <alignment/>
    </xf>
    <xf numFmtId="0" fontId="0" fillId="57" borderId="0" xfId="0" applyFont="1" applyFill="1" applyBorder="1" applyAlignment="1">
      <alignment horizontal="right"/>
    </xf>
    <xf numFmtId="164" fontId="0" fillId="57" borderId="0" xfId="69" applyNumberFormat="1" applyFont="1" applyFill="1" applyBorder="1" applyAlignment="1">
      <alignment/>
    </xf>
    <xf numFmtId="8" fontId="0" fillId="57" borderId="0" xfId="0" applyNumberFormat="1" applyFill="1" applyBorder="1" applyAlignment="1">
      <alignment/>
    </xf>
    <xf numFmtId="164" fontId="0" fillId="57" borderId="0" xfId="0" applyNumberFormat="1" applyFill="1" applyBorder="1" applyAlignment="1">
      <alignment/>
    </xf>
    <xf numFmtId="178" fontId="0" fillId="57" borderId="0" xfId="0" applyNumberFormat="1" applyFill="1" applyAlignment="1">
      <alignment/>
    </xf>
    <xf numFmtId="0" fontId="1" fillId="57" borderId="0" xfId="0" applyNumberFormat="1" applyFont="1" applyFill="1" applyAlignment="1">
      <alignment horizontal="left" wrapText="1"/>
    </xf>
    <xf numFmtId="167" fontId="0" fillId="57" borderId="0" xfId="69" applyNumberFormat="1" applyFont="1" applyFill="1" applyAlignment="1">
      <alignment horizontal="left" wrapText="1"/>
    </xf>
    <xf numFmtId="0" fontId="1" fillId="57" borderId="0" xfId="0" applyNumberFormat="1" applyFont="1" applyFill="1" applyAlignment="1">
      <alignment/>
    </xf>
    <xf numFmtId="167" fontId="0" fillId="57" borderId="0" xfId="69" applyNumberFormat="1" applyFont="1" applyFill="1" applyAlignment="1">
      <alignment/>
    </xf>
    <xf numFmtId="17" fontId="1" fillId="57" borderId="0" xfId="0" applyNumberFormat="1" applyFont="1" applyFill="1" applyAlignment="1">
      <alignment horizontal="right"/>
    </xf>
    <xf numFmtId="0" fontId="0" fillId="57" borderId="0" xfId="0" applyNumberFormat="1" applyFont="1" applyFill="1" applyAlignment="1">
      <alignment/>
    </xf>
    <xf numFmtId="0" fontId="0" fillId="57" borderId="0" xfId="0" applyFont="1" applyFill="1" applyAlignment="1">
      <alignment/>
    </xf>
    <xf numFmtId="0" fontId="0" fillId="57" borderId="0" xfId="0" applyNumberFormat="1" applyFont="1" applyFill="1" applyAlignment="1">
      <alignment horizontal="left" wrapText="1"/>
    </xf>
    <xf numFmtId="5" fontId="0" fillId="57" borderId="0" xfId="0" applyNumberFormat="1" applyFont="1" applyFill="1" applyAlignment="1">
      <alignment horizontal="right"/>
    </xf>
    <xf numFmtId="171" fontId="1" fillId="57" borderId="0" xfId="0" applyNumberFormat="1" applyFont="1" applyFill="1" applyAlignment="1">
      <alignment/>
    </xf>
    <xf numFmtId="5" fontId="23" fillId="57" borderId="0" xfId="0" applyNumberFormat="1" applyFont="1" applyFill="1" applyAlignment="1">
      <alignment horizontal="right"/>
    </xf>
    <xf numFmtId="171" fontId="38" fillId="57" borderId="0" xfId="0" applyNumberFormat="1" applyFont="1" applyFill="1" applyAlignment="1">
      <alignment/>
    </xf>
    <xf numFmtId="5" fontId="0" fillId="57" borderId="0" xfId="0" applyNumberFormat="1" applyFont="1" applyFill="1" applyAlignment="1">
      <alignment/>
    </xf>
    <xf numFmtId="0" fontId="3" fillId="57" borderId="0" xfId="0" applyNumberFormat="1" applyFont="1" applyFill="1" applyAlignment="1">
      <alignment horizontal="left" wrapText="1"/>
    </xf>
    <xf numFmtId="37" fontId="0" fillId="57" borderId="0" xfId="0" applyNumberFormat="1" applyFont="1" applyFill="1" applyAlignment="1">
      <alignment/>
    </xf>
    <xf numFmtId="0" fontId="0" fillId="57" borderId="0" xfId="0" applyNumberFormat="1" applyFont="1" applyFill="1" applyAlignment="1">
      <alignment horizontal="left" wrapText="1"/>
    </xf>
    <xf numFmtId="0" fontId="1" fillId="57" borderId="0" xfId="0" applyNumberFormat="1" applyFont="1" applyFill="1" applyAlignment="1">
      <alignment horizontal="left"/>
    </xf>
    <xf numFmtId="0" fontId="0" fillId="57" borderId="0" xfId="0" applyNumberFormat="1" applyFont="1" applyFill="1" applyAlignment="1">
      <alignment horizontal="left"/>
    </xf>
    <xf numFmtId="164" fontId="0" fillId="57" borderId="0" xfId="69" applyNumberFormat="1" applyFont="1" applyFill="1" applyAlignment="1">
      <alignment/>
    </xf>
    <xf numFmtId="164" fontId="1" fillId="57" borderId="0" xfId="69" applyNumberFormat="1" applyFont="1" applyFill="1" applyAlignment="1">
      <alignment/>
    </xf>
    <xf numFmtId="0" fontId="3" fillId="57" borderId="0" xfId="0" applyNumberFormat="1" applyFont="1" applyFill="1" applyAlignment="1">
      <alignment horizontal="left"/>
    </xf>
    <xf numFmtId="5" fontId="23" fillId="57" borderId="0" xfId="0" applyNumberFormat="1" applyFont="1" applyFill="1" applyAlignment="1">
      <alignment/>
    </xf>
    <xf numFmtId="164" fontId="29" fillId="57" borderId="0" xfId="69" applyNumberFormat="1" applyFont="1" applyFill="1" applyAlignment="1">
      <alignment/>
    </xf>
    <xf numFmtId="0" fontId="0" fillId="57" borderId="0" xfId="0" applyFill="1" applyAlignment="1" applyProtection="1">
      <alignment/>
      <protection locked="0"/>
    </xf>
    <xf numFmtId="0" fontId="3" fillId="57" borderId="0" xfId="0" applyFont="1" applyFill="1" applyAlignment="1">
      <alignment/>
    </xf>
    <xf numFmtId="0" fontId="0" fillId="57" borderId="0" xfId="0" applyNumberFormat="1" applyFont="1" applyFill="1" applyAlignment="1">
      <alignment/>
    </xf>
    <xf numFmtId="5" fontId="0" fillId="57" borderId="0" xfId="0" applyNumberFormat="1" applyFill="1" applyAlignment="1">
      <alignment/>
    </xf>
    <xf numFmtId="5" fontId="23" fillId="57" borderId="0" xfId="0" applyNumberFormat="1" applyFont="1" applyFill="1" applyAlignment="1">
      <alignment/>
    </xf>
    <xf numFmtId="5" fontId="1" fillId="57" borderId="0" xfId="0" applyNumberFormat="1" applyFont="1" applyFill="1" applyAlignment="1">
      <alignment/>
    </xf>
    <xf numFmtId="0" fontId="1" fillId="57" borderId="0" xfId="0" applyNumberFormat="1" applyFont="1" applyFill="1" applyAlignment="1">
      <alignment horizontal="center"/>
    </xf>
    <xf numFmtId="17" fontId="1" fillId="57" borderId="0" xfId="0" applyNumberFormat="1" applyFont="1" applyFill="1" applyAlignment="1">
      <alignment horizontal="center"/>
    </xf>
    <xf numFmtId="0" fontId="3" fillId="57" borderId="0" xfId="0" applyNumberFormat="1" applyFont="1" applyFill="1" applyAlignment="1">
      <alignment/>
    </xf>
    <xf numFmtId="3" fontId="24" fillId="57" borderId="0" xfId="0" applyNumberFormat="1" applyFont="1" applyFill="1" applyAlignment="1">
      <alignment horizontal="right"/>
    </xf>
    <xf numFmtId="3" fontId="0" fillId="57" borderId="0" xfId="0" applyNumberFormat="1" applyFont="1" applyFill="1" applyAlignment="1">
      <alignment/>
    </xf>
    <xf numFmtId="3" fontId="25" fillId="57" borderId="0" xfId="0" applyNumberFormat="1" applyFont="1" applyFill="1" applyAlignment="1">
      <alignment horizontal="right"/>
    </xf>
    <xf numFmtId="3" fontId="23" fillId="57" borderId="0" xfId="0" applyNumberFormat="1" applyFont="1" applyFill="1" applyAlignment="1">
      <alignment/>
    </xf>
    <xf numFmtId="3" fontId="0" fillId="57" borderId="0" xfId="0" applyNumberFormat="1" applyFill="1" applyAlignment="1">
      <alignment/>
    </xf>
    <xf numFmtId="3" fontId="1" fillId="57" borderId="0" xfId="0" applyNumberFormat="1" applyFont="1" applyFill="1" applyAlignment="1">
      <alignment/>
    </xf>
    <xf numFmtId="0" fontId="0" fillId="57" borderId="0" xfId="0" applyFont="1" applyFill="1" applyAlignment="1" applyProtection="1">
      <alignment/>
      <protection locked="0"/>
    </xf>
    <xf numFmtId="3" fontId="0" fillId="57" borderId="0" xfId="0" applyNumberFormat="1" applyFont="1" applyFill="1" applyAlignment="1">
      <alignment/>
    </xf>
    <xf numFmtId="0" fontId="0" fillId="57" borderId="0" xfId="0" applyFont="1" applyFill="1" applyAlignment="1">
      <alignment/>
    </xf>
    <xf numFmtId="0" fontId="3" fillId="57" borderId="0" xfId="0" applyFont="1" applyFill="1" applyAlignment="1">
      <alignment wrapText="1"/>
    </xf>
    <xf numFmtId="170" fontId="24" fillId="57" borderId="0" xfId="127" applyNumberFormat="1" applyFont="1" applyFill="1" applyAlignment="1">
      <alignment horizontal="right"/>
    </xf>
    <xf numFmtId="170" fontId="0" fillId="57" borderId="0" xfId="127" applyNumberFormat="1" applyFont="1" applyFill="1" applyAlignment="1">
      <alignment/>
    </xf>
    <xf numFmtId="170" fontId="25" fillId="57" borderId="0" xfId="127" applyNumberFormat="1" applyFont="1" applyFill="1" applyAlignment="1">
      <alignment horizontal="right"/>
    </xf>
    <xf numFmtId="170" fontId="23" fillId="57" borderId="0" xfId="127" applyNumberFormat="1" applyFont="1" applyFill="1" applyAlignment="1">
      <alignment/>
    </xf>
    <xf numFmtId="170" fontId="1" fillId="57" borderId="0" xfId="127" applyNumberFormat="1" applyFont="1" applyFill="1" applyAlignment="1">
      <alignment/>
    </xf>
    <xf numFmtId="170" fontId="0" fillId="57" borderId="0" xfId="127" applyNumberFormat="1" applyFont="1" applyFill="1" applyAlignment="1">
      <alignment/>
    </xf>
    <xf numFmtId="170" fontId="0" fillId="57" borderId="0" xfId="127" applyNumberFormat="1" applyFont="1" applyFill="1" applyAlignment="1">
      <alignment/>
    </xf>
    <xf numFmtId="0" fontId="3" fillId="57" borderId="0" xfId="0" applyNumberFormat="1" applyFont="1" applyFill="1" applyAlignment="1">
      <alignment wrapText="1"/>
    </xf>
    <xf numFmtId="43" fontId="0" fillId="57" borderId="0" xfId="0" applyNumberFormat="1" applyFill="1" applyAlignment="1">
      <alignment/>
    </xf>
    <xf numFmtId="3" fontId="0" fillId="57" borderId="0" xfId="0" applyNumberFormat="1" applyFill="1" applyBorder="1" applyAlignment="1">
      <alignment/>
    </xf>
    <xf numFmtId="173" fontId="46" fillId="57" borderId="0" xfId="0" applyNumberFormat="1" applyFont="1" applyFill="1" applyAlignment="1">
      <alignment horizontal="right"/>
    </xf>
    <xf numFmtId="10" fontId="0" fillId="57" borderId="0" xfId="127" applyNumberFormat="1" applyFont="1" applyFill="1" applyAlignment="1">
      <alignment/>
    </xf>
    <xf numFmtId="10" fontId="23" fillId="57" borderId="0" xfId="127" applyNumberFormat="1" applyFont="1" applyFill="1" applyAlignment="1">
      <alignment/>
    </xf>
    <xf numFmtId="10" fontId="0" fillId="57" borderId="0" xfId="0" applyNumberFormat="1" applyFill="1" applyAlignment="1">
      <alignment/>
    </xf>
    <xf numFmtId="0" fontId="1" fillId="57" borderId="0" xfId="0" applyNumberFormat="1" applyFont="1" applyFill="1" applyAlignment="1">
      <alignment horizontal="center"/>
    </xf>
    <xf numFmtId="0" fontId="18" fillId="57" borderId="0" xfId="0" applyNumberFormat="1" applyFont="1" applyFill="1" applyAlignment="1">
      <alignment/>
    </xf>
    <xf numFmtId="3" fontId="0" fillId="57" borderId="0" xfId="0" applyNumberFormat="1" applyFont="1" applyFill="1" applyAlignment="1">
      <alignment/>
    </xf>
    <xf numFmtId="0" fontId="0" fillId="57" borderId="0" xfId="110" applyFill="1" applyAlignment="1">
      <alignment/>
      <protection/>
    </xf>
    <xf numFmtId="0" fontId="1" fillId="57" borderId="0" xfId="0" applyFont="1" applyFill="1" applyAlignment="1">
      <alignment wrapText="1"/>
    </xf>
    <xf numFmtId="164" fontId="0" fillId="57" borderId="0" xfId="69" applyNumberFormat="1" applyFill="1" applyAlignment="1">
      <alignment/>
    </xf>
    <xf numFmtId="3" fontId="24" fillId="57" borderId="0" xfId="0" applyNumberFormat="1" applyFont="1" applyFill="1" applyBorder="1" applyAlignment="1">
      <alignment horizontal="right"/>
    </xf>
    <xf numFmtId="3" fontId="25" fillId="57" borderId="0" xfId="0" applyNumberFormat="1" applyFont="1" applyFill="1" applyBorder="1" applyAlignment="1">
      <alignment horizontal="right"/>
    </xf>
    <xf numFmtId="3" fontId="0" fillId="57" borderId="0" xfId="110" applyNumberFormat="1" applyFill="1" applyAlignment="1">
      <alignment/>
      <protection/>
    </xf>
    <xf numFmtId="2" fontId="0" fillId="57" borderId="0" xfId="0" applyNumberFormat="1" applyFill="1" applyAlignment="1" applyProtection="1">
      <alignment/>
      <protection locked="0"/>
    </xf>
    <xf numFmtId="5" fontId="0" fillId="57" borderId="0" xfId="0" applyNumberFormat="1" applyFont="1" applyFill="1" applyAlignment="1" applyProtection="1">
      <alignment horizontal="right"/>
      <protection locked="0"/>
    </xf>
    <xf numFmtId="5" fontId="0" fillId="57" borderId="0" xfId="0" applyNumberFormat="1" applyFill="1" applyAlignment="1" applyProtection="1">
      <alignment/>
      <protection locked="0"/>
    </xf>
    <xf numFmtId="0" fontId="1" fillId="57" borderId="0" xfId="0" applyFont="1" applyFill="1" applyAlignment="1" applyProtection="1">
      <alignment/>
      <protection locked="0"/>
    </xf>
    <xf numFmtId="0" fontId="0" fillId="57" borderId="0" xfId="0" applyNumberFormat="1" applyFont="1" applyFill="1" applyAlignment="1" applyProtection="1">
      <alignment horizontal="left" wrapText="1"/>
      <protection locked="0"/>
    </xf>
    <xf numFmtId="0" fontId="1" fillId="57" borderId="0" xfId="0" applyNumberFormat="1" applyFont="1" applyFill="1" applyAlignment="1" applyProtection="1">
      <alignment/>
      <protection locked="0"/>
    </xf>
    <xf numFmtId="0" fontId="1" fillId="57" borderId="0" xfId="0" applyNumberFormat="1" applyFont="1" applyFill="1" applyAlignment="1" applyProtection="1">
      <alignment wrapText="1"/>
      <protection locked="0"/>
    </xf>
    <xf numFmtId="17" fontId="1" fillId="57" borderId="0" xfId="0" applyNumberFormat="1" applyFont="1" applyFill="1" applyAlignment="1" applyProtection="1">
      <alignment horizontal="right"/>
      <protection locked="0"/>
    </xf>
    <xf numFmtId="5" fontId="1" fillId="57" borderId="0" xfId="0" applyNumberFormat="1" applyFont="1" applyFill="1" applyBorder="1" applyAlignment="1" applyProtection="1">
      <alignment horizontal="right"/>
      <protection locked="0"/>
    </xf>
    <xf numFmtId="5" fontId="0" fillId="57" borderId="0" xfId="110" applyNumberFormat="1" applyFont="1" applyFill="1" applyAlignment="1" applyProtection="1">
      <alignment horizontal="right"/>
      <protection locked="0"/>
    </xf>
    <xf numFmtId="0" fontId="0" fillId="57" borderId="0" xfId="0" applyNumberFormat="1" applyFont="1" applyFill="1" applyAlignment="1" applyProtection="1">
      <alignment/>
      <protection locked="0"/>
    </xf>
    <xf numFmtId="0" fontId="0" fillId="57" borderId="0" xfId="0" applyFont="1" applyFill="1" applyBorder="1" applyAlignment="1">
      <alignment/>
    </xf>
    <xf numFmtId="7" fontId="0" fillId="57" borderId="0" xfId="0" applyNumberFormat="1" applyFont="1" applyFill="1" applyAlignment="1" applyProtection="1">
      <alignment horizontal="right"/>
      <protection locked="0"/>
    </xf>
    <xf numFmtId="5" fontId="0" fillId="57" borderId="0" xfId="0" applyNumberFormat="1" applyFont="1" applyFill="1" applyAlignment="1" applyProtection="1">
      <alignment/>
      <protection locked="0"/>
    </xf>
    <xf numFmtId="0" fontId="0" fillId="57" borderId="0" xfId="0" applyNumberFormat="1" applyFont="1" applyFill="1" applyAlignment="1" applyProtection="1">
      <alignment/>
      <protection locked="0"/>
    </xf>
    <xf numFmtId="164" fontId="0" fillId="57" borderId="0" xfId="0" applyNumberFormat="1" applyFill="1" applyAlignment="1" applyProtection="1">
      <alignment/>
      <protection locked="0"/>
    </xf>
    <xf numFmtId="38" fontId="76" fillId="57" borderId="0" xfId="115" applyNumberFormat="1" applyFont="1" applyFill="1" applyBorder="1">
      <alignment/>
      <protection/>
    </xf>
    <xf numFmtId="164" fontId="17" fillId="57" borderId="0" xfId="69" applyNumberFormat="1" applyFont="1" applyFill="1" applyAlignment="1">
      <alignment/>
    </xf>
    <xf numFmtId="164" fontId="17" fillId="57" borderId="0" xfId="0" applyNumberFormat="1" applyFont="1" applyFill="1" applyAlignment="1" applyProtection="1">
      <alignment/>
      <protection locked="0"/>
    </xf>
    <xf numFmtId="164" fontId="0" fillId="57" borderId="0" xfId="69" applyNumberFormat="1" applyFont="1" applyFill="1" applyAlignment="1">
      <alignment/>
    </xf>
    <xf numFmtId="164" fontId="0" fillId="57" borderId="0" xfId="69" applyNumberFormat="1" applyFont="1" applyFill="1" applyAlignment="1" applyProtection="1">
      <alignment/>
      <protection locked="0"/>
    </xf>
    <xf numFmtId="164" fontId="0" fillId="57" borderId="0" xfId="69" applyNumberFormat="1" applyFont="1" applyFill="1" applyAlignment="1" applyProtection="1">
      <alignment/>
      <protection locked="0"/>
    </xf>
    <xf numFmtId="168" fontId="0" fillId="57" borderId="0" xfId="0" applyNumberFormat="1" applyFill="1" applyAlignment="1" applyProtection="1">
      <alignment/>
      <protection locked="0"/>
    </xf>
    <xf numFmtId="164" fontId="0" fillId="57" borderId="0" xfId="69" applyNumberFormat="1" applyFont="1" applyFill="1" applyBorder="1" applyAlignment="1" applyProtection="1">
      <alignment/>
      <protection locked="0"/>
    </xf>
    <xf numFmtId="43" fontId="0" fillId="57" borderId="0" xfId="0" applyNumberFormat="1" applyFill="1" applyAlignment="1" applyProtection="1">
      <alignment/>
      <protection locked="0"/>
    </xf>
    <xf numFmtId="38" fontId="77" fillId="57" borderId="0" xfId="115" applyNumberFormat="1" applyFill="1">
      <alignment/>
      <protection/>
    </xf>
    <xf numFmtId="43" fontId="0" fillId="57" borderId="0" xfId="69" applyFont="1" applyFill="1" applyAlignment="1" applyProtection="1">
      <alignment/>
      <protection locked="0"/>
    </xf>
    <xf numFmtId="6" fontId="0" fillId="57" borderId="0" xfId="69" applyNumberFormat="1" applyFont="1" applyFill="1" applyAlignment="1" applyProtection="1">
      <alignment/>
      <protection locked="0"/>
    </xf>
    <xf numFmtId="6" fontId="0" fillId="57" borderId="0" xfId="0" applyNumberFormat="1" applyFill="1" applyAlignment="1" applyProtection="1">
      <alignment/>
      <protection locked="0"/>
    </xf>
    <xf numFmtId="167" fontId="0" fillId="57" borderId="0" xfId="0" applyNumberFormat="1" applyFill="1" applyAlignment="1" applyProtection="1">
      <alignment/>
      <protection locked="0"/>
    </xf>
    <xf numFmtId="0" fontId="3" fillId="57" borderId="0" xfId="0" applyFont="1" applyFill="1" applyAlignment="1" applyProtection="1">
      <alignment/>
      <protection locked="0"/>
    </xf>
    <xf numFmtId="43" fontId="6" fillId="57" borderId="0" xfId="69" applyNumberFormat="1" applyFont="1" applyFill="1" applyBorder="1" applyAlignment="1" applyProtection="1">
      <alignment horizontal="right" vertical="center"/>
      <protection locked="0"/>
    </xf>
    <xf numFmtId="165" fontId="1" fillId="57" borderId="0" xfId="69" applyNumberFormat="1" applyFont="1" applyFill="1" applyAlignment="1" applyProtection="1">
      <alignment/>
      <protection locked="0"/>
    </xf>
    <xf numFmtId="6" fontId="0" fillId="57" borderId="0" xfId="0" applyNumberFormat="1" applyFill="1" applyAlignment="1" applyProtection="1">
      <alignment/>
      <protection/>
    </xf>
    <xf numFmtId="165" fontId="1" fillId="57" borderId="0" xfId="69" applyNumberFormat="1" applyFont="1" applyFill="1" applyAlignment="1" applyProtection="1">
      <alignment/>
      <protection locked="0"/>
    </xf>
    <xf numFmtId="0" fontId="0" fillId="57" borderId="0" xfId="0" applyFill="1" applyAlignment="1" applyProtection="1">
      <alignment/>
      <protection/>
    </xf>
    <xf numFmtId="10" fontId="1" fillId="57" borderId="0" xfId="127" applyNumberFormat="1" applyFont="1" applyFill="1" applyAlignment="1">
      <alignment/>
    </xf>
    <xf numFmtId="164" fontId="17" fillId="57" borderId="0" xfId="0" applyNumberFormat="1" applyFont="1" applyFill="1" applyAlignment="1">
      <alignment/>
    </xf>
    <xf numFmtId="164" fontId="1" fillId="57" borderId="0" xfId="0" applyNumberFormat="1" applyFont="1" applyFill="1" applyAlignment="1">
      <alignment/>
    </xf>
    <xf numFmtId="164" fontId="0" fillId="57" borderId="0" xfId="69" applyNumberFormat="1" applyFont="1" applyFill="1" applyAlignment="1">
      <alignment/>
    </xf>
    <xf numFmtId="0" fontId="0" fillId="57" borderId="0" xfId="0" applyFont="1" applyFill="1" applyAlignment="1">
      <alignment/>
    </xf>
    <xf numFmtId="165" fontId="69" fillId="57" borderId="0" xfId="77" applyNumberFormat="1" applyFont="1" applyFill="1" applyBorder="1" applyAlignment="1">
      <alignment/>
    </xf>
    <xf numFmtId="0" fontId="1" fillId="57" borderId="0" xfId="0" applyFont="1" applyFill="1" applyBorder="1" applyAlignment="1">
      <alignment horizontal="center"/>
    </xf>
    <xf numFmtId="0" fontId="1" fillId="57" borderId="0" xfId="0" applyFont="1" applyFill="1" applyBorder="1" applyAlignment="1">
      <alignment horizontal="right"/>
    </xf>
    <xf numFmtId="0" fontId="1" fillId="57" borderId="0" xfId="0" applyFont="1" applyFill="1" applyBorder="1" applyAlignment="1">
      <alignment horizontal="left"/>
    </xf>
    <xf numFmtId="166" fontId="1" fillId="57" borderId="0" xfId="69" applyNumberFormat="1" applyFont="1" applyFill="1" applyAlignment="1">
      <alignment/>
    </xf>
    <xf numFmtId="0" fontId="38" fillId="57" borderId="0" xfId="0" applyFont="1" applyFill="1" applyBorder="1" applyAlignment="1">
      <alignment/>
    </xf>
    <xf numFmtId="0" fontId="0" fillId="57" borderId="0" xfId="0" applyNumberFormat="1" applyFont="1" applyFill="1" applyAlignment="1">
      <alignment/>
    </xf>
    <xf numFmtId="177" fontId="0" fillId="57" borderId="0" xfId="80" applyNumberFormat="1" applyFont="1" applyFill="1" applyBorder="1" applyAlignment="1">
      <alignment/>
    </xf>
    <xf numFmtId="0" fontId="0" fillId="57" borderId="0" xfId="0" applyNumberFormat="1" applyFont="1" applyFill="1" applyAlignment="1">
      <alignment/>
    </xf>
    <xf numFmtId="0" fontId="42" fillId="57" borderId="0" xfId="0" applyNumberFormat="1" applyFont="1" applyFill="1" applyAlignment="1" quotePrefix="1">
      <alignment horizontal="center"/>
    </xf>
    <xf numFmtId="0" fontId="43" fillId="57" borderId="0" xfId="0" applyNumberFormat="1" applyFont="1" applyFill="1" applyAlignment="1">
      <alignment/>
    </xf>
    <xf numFmtId="37" fontId="0" fillId="57" borderId="0" xfId="0" applyNumberFormat="1" applyFont="1" applyFill="1" applyAlignment="1">
      <alignment/>
    </xf>
    <xf numFmtId="3" fontId="0" fillId="57" borderId="0" xfId="0" applyNumberFormat="1" applyFont="1" applyFill="1" applyAlignment="1">
      <alignment/>
    </xf>
    <xf numFmtId="0" fontId="0" fillId="57" borderId="0" xfId="0" applyNumberFormat="1" applyFont="1" applyFill="1" applyAlignment="1">
      <alignment/>
    </xf>
    <xf numFmtId="0" fontId="0" fillId="57" borderId="0" xfId="0" applyFill="1" applyAlignment="1">
      <alignment horizontal="center"/>
    </xf>
    <xf numFmtId="177" fontId="0" fillId="57" borderId="0" xfId="80" applyNumberFormat="1" applyFont="1" applyFill="1" applyAlignment="1">
      <alignment/>
    </xf>
    <xf numFmtId="43" fontId="0" fillId="57" borderId="0" xfId="80" applyNumberFormat="1" applyFont="1" applyFill="1" applyAlignment="1">
      <alignment/>
    </xf>
    <xf numFmtId="170" fontId="1" fillId="57" borderId="0" xfId="127" applyNumberFormat="1" applyFont="1" applyFill="1" applyAlignment="1">
      <alignment/>
    </xf>
    <xf numFmtId="5" fontId="1" fillId="0" borderId="20" xfId="69" applyNumberFormat="1" applyFont="1" applyFill="1" applyBorder="1" applyAlignment="1">
      <alignment/>
    </xf>
    <xf numFmtId="5" fontId="46" fillId="56" borderId="20" xfId="69" applyNumberFormat="1" applyFont="1" applyFill="1" applyBorder="1" applyAlignment="1">
      <alignment vertical="center"/>
    </xf>
    <xf numFmtId="5" fontId="0" fillId="57" borderId="0" xfId="69" applyNumberFormat="1" applyFont="1" applyFill="1" applyAlignment="1" applyProtection="1">
      <alignment/>
      <protection locked="0"/>
    </xf>
    <xf numFmtId="5" fontId="0" fillId="57" borderId="0" xfId="0" applyNumberFormat="1" applyFill="1" applyAlignment="1" applyProtection="1">
      <alignment/>
      <protection/>
    </xf>
    <xf numFmtId="199" fontId="70" fillId="57" borderId="0" xfId="72" applyNumberFormat="1" applyFont="1" applyFill="1" applyBorder="1" applyAlignment="1">
      <alignment horizontal="left"/>
    </xf>
    <xf numFmtId="165" fontId="71" fillId="57" borderId="0" xfId="77" applyNumberFormat="1" applyFont="1" applyFill="1" applyBorder="1" applyAlignment="1">
      <alignment/>
    </xf>
    <xf numFmtId="37" fontId="24" fillId="57" borderId="0" xfId="122" applyNumberFormat="1" applyFont="1" applyFill="1" applyBorder="1">
      <alignment horizontal="right"/>
      <protection/>
    </xf>
    <xf numFmtId="0" fontId="1" fillId="57" borderId="0" xfId="0" applyNumberFormat="1" applyFont="1" applyFill="1" applyBorder="1" applyAlignment="1">
      <alignment/>
    </xf>
    <xf numFmtId="0" fontId="0" fillId="57" borderId="0" xfId="0" applyFill="1" applyBorder="1" applyAlignment="1" applyProtection="1">
      <alignment/>
      <protection locked="0"/>
    </xf>
    <xf numFmtId="0" fontId="0" fillId="57" borderId="0" xfId="0" applyFont="1" applyFill="1" applyBorder="1" applyAlignment="1" applyProtection="1">
      <alignment/>
      <protection locked="0"/>
    </xf>
    <xf numFmtId="0" fontId="0" fillId="57" borderId="0" xfId="0" applyNumberFormat="1" applyFont="1" applyFill="1" applyBorder="1" applyAlignment="1">
      <alignment/>
    </xf>
    <xf numFmtId="0" fontId="0" fillId="57" borderId="0" xfId="0" applyNumberFormat="1" applyFont="1" applyFill="1" applyBorder="1" applyAlignment="1">
      <alignment/>
    </xf>
    <xf numFmtId="0" fontId="1" fillId="57" borderId="0" xfId="0" applyFont="1" applyFill="1" applyBorder="1" applyAlignment="1" applyProtection="1">
      <alignment/>
      <protection locked="0"/>
    </xf>
    <xf numFmtId="165" fontId="1" fillId="57" borderId="0" xfId="69" applyNumberFormat="1" applyFont="1" applyFill="1" applyBorder="1" applyAlignment="1" applyProtection="1">
      <alignment/>
      <protection locked="0"/>
    </xf>
    <xf numFmtId="166" fontId="1" fillId="57" borderId="0" xfId="69" applyNumberFormat="1" applyFont="1" applyFill="1" applyBorder="1" applyAlignment="1" applyProtection="1">
      <alignment/>
      <protection locked="0"/>
    </xf>
    <xf numFmtId="0" fontId="19" fillId="0" borderId="43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39" fillId="55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0" fontId="19" fillId="55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55" borderId="43" xfId="0" applyFont="1" applyFill="1" applyBorder="1" applyAlignment="1">
      <alignment horizontal="center" wrapText="1"/>
    </xf>
    <xf numFmtId="0" fontId="0" fillId="55" borderId="22" xfId="0" applyFill="1" applyBorder="1" applyAlignment="1">
      <alignment/>
    </xf>
    <xf numFmtId="0" fontId="18" fillId="55" borderId="26" xfId="0" applyFont="1" applyFill="1" applyBorder="1" applyAlignment="1">
      <alignment horizontal="center" wrapText="1"/>
    </xf>
    <xf numFmtId="0" fontId="3" fillId="55" borderId="44" xfId="0" applyFont="1" applyFill="1" applyBorder="1" applyAlignment="1">
      <alignment horizontal="center" wrapText="1"/>
    </xf>
    <xf numFmtId="0" fontId="20" fillId="55" borderId="24" xfId="0" applyFont="1" applyFill="1" applyBorder="1" applyAlignment="1">
      <alignment horizontal="center" wrapText="1"/>
    </xf>
    <xf numFmtId="0" fontId="3" fillId="55" borderId="45" xfId="0" applyFont="1" applyFill="1" applyBorder="1" applyAlignment="1">
      <alignment horizontal="center" wrapText="1"/>
    </xf>
    <xf numFmtId="0" fontId="3" fillId="55" borderId="46" xfId="0" applyFont="1" applyFill="1" applyBorder="1" applyAlignment="1">
      <alignment horizontal="center" wrapText="1"/>
    </xf>
    <xf numFmtId="0" fontId="3" fillId="55" borderId="21" xfId="0" applyFont="1" applyFill="1" applyBorder="1" applyAlignment="1">
      <alignment horizontal="center" wrapText="1"/>
    </xf>
    <xf numFmtId="0" fontId="0" fillId="55" borderId="46" xfId="0" applyFill="1" applyBorder="1" applyAlignment="1">
      <alignment horizontal="center"/>
    </xf>
    <xf numFmtId="0" fontId="3" fillId="55" borderId="20" xfId="0" applyFont="1" applyFill="1" applyBorder="1" applyAlignment="1">
      <alignment horizontal="center" wrapText="1"/>
    </xf>
    <xf numFmtId="0" fontId="20" fillId="55" borderId="22" xfId="0" applyFont="1" applyFill="1" applyBorder="1" applyAlignment="1">
      <alignment horizontal="center" wrapText="1"/>
    </xf>
    <xf numFmtId="0" fontId="18" fillId="55" borderId="25" xfId="0" applyFont="1" applyFill="1" applyBorder="1" applyAlignment="1">
      <alignment horizontal="center" wrapText="1"/>
    </xf>
    <xf numFmtId="0" fontId="18" fillId="55" borderId="27" xfId="0" applyFont="1" applyFill="1" applyBorder="1" applyAlignment="1">
      <alignment horizontal="center" wrapText="1"/>
    </xf>
    <xf numFmtId="0" fontId="1" fillId="55" borderId="28" xfId="0" applyFont="1" applyFill="1" applyBorder="1" applyAlignment="1">
      <alignment horizontal="center" wrapText="1"/>
    </xf>
    <xf numFmtId="0" fontId="1" fillId="55" borderId="0" xfId="0" applyFont="1" applyFill="1" applyBorder="1" applyAlignment="1">
      <alignment horizontal="center" wrapText="1"/>
    </xf>
    <xf numFmtId="0" fontId="0" fillId="55" borderId="23" xfId="0" applyFill="1" applyBorder="1" applyAlignment="1">
      <alignment horizontal="center" wrapText="1"/>
    </xf>
    <xf numFmtId="0" fontId="3" fillId="55" borderId="17" xfId="0" applyFont="1" applyFill="1" applyBorder="1" applyAlignment="1">
      <alignment horizontal="center" wrapText="1"/>
    </xf>
    <xf numFmtId="0" fontId="1" fillId="55" borderId="43" xfId="0" applyFont="1" applyFill="1" applyBorder="1" applyAlignment="1">
      <alignment horizontal="center" wrapText="1"/>
    </xf>
    <xf numFmtId="0" fontId="1" fillId="55" borderId="20" xfId="0" applyFont="1" applyFill="1" applyBorder="1" applyAlignment="1">
      <alignment horizontal="center" wrapText="1"/>
    </xf>
    <xf numFmtId="0" fontId="0" fillId="55" borderId="22" xfId="0" applyFill="1" applyBorder="1" applyAlignment="1">
      <alignment horizontal="center" wrapText="1"/>
    </xf>
    <xf numFmtId="0" fontId="3" fillId="55" borderId="28" xfId="0" applyFont="1" applyFill="1" applyBorder="1" applyAlignment="1">
      <alignment horizontal="center" wrapText="1"/>
    </xf>
    <xf numFmtId="0" fontId="3" fillId="55" borderId="0" xfId="0" applyFont="1" applyFill="1" applyBorder="1" applyAlignment="1">
      <alignment horizontal="center" wrapText="1"/>
    </xf>
    <xf numFmtId="0" fontId="20" fillId="55" borderId="23" xfId="0" applyFont="1" applyFill="1" applyBorder="1" applyAlignment="1">
      <alignment horizontal="center" wrapText="1"/>
    </xf>
    <xf numFmtId="0" fontId="1" fillId="57" borderId="0" xfId="0" applyFont="1" applyFill="1" applyAlignment="1">
      <alignment horizontal="center"/>
    </xf>
    <xf numFmtId="0" fontId="1" fillId="55" borderId="47" xfId="0" applyFont="1" applyFill="1" applyBorder="1" applyAlignment="1">
      <alignment/>
    </xf>
    <xf numFmtId="0" fontId="21" fillId="55" borderId="48" xfId="0" applyFont="1" applyFill="1" applyBorder="1" applyAlignment="1">
      <alignment horizontal="center" wrapText="1"/>
    </xf>
    <xf numFmtId="0" fontId="27" fillId="55" borderId="38" xfId="0" applyFont="1" applyFill="1" applyBorder="1" applyAlignment="1">
      <alignment horizontal="center" wrapText="1"/>
    </xf>
    <xf numFmtId="0" fontId="27" fillId="55" borderId="49" xfId="0" applyFont="1" applyFill="1" applyBorder="1" applyAlignment="1">
      <alignment horizontal="center" wrapText="1"/>
    </xf>
    <xf numFmtId="0" fontId="21" fillId="55" borderId="50" xfId="0" applyFont="1" applyFill="1" applyBorder="1" applyAlignment="1">
      <alignment horizontal="center" wrapText="1"/>
    </xf>
    <xf numFmtId="0" fontId="21" fillId="55" borderId="51" xfId="0" applyFont="1" applyFill="1" applyBorder="1" applyAlignment="1">
      <alignment horizontal="center" wrapText="1"/>
    </xf>
    <xf numFmtId="0" fontId="21" fillId="55" borderId="52" xfId="0" applyFont="1" applyFill="1" applyBorder="1" applyAlignment="1">
      <alignment horizontal="center" wrapText="1"/>
    </xf>
    <xf numFmtId="0" fontId="19" fillId="55" borderId="50" xfId="0" applyFont="1" applyFill="1" applyBorder="1" applyAlignment="1">
      <alignment horizontal="center" wrapText="1"/>
    </xf>
    <xf numFmtId="0" fontId="19" fillId="55" borderId="51" xfId="0" applyFont="1" applyFill="1" applyBorder="1" applyAlignment="1">
      <alignment horizontal="center" wrapText="1"/>
    </xf>
    <xf numFmtId="0" fontId="22" fillId="55" borderId="53" xfId="0" applyFont="1" applyFill="1" applyBorder="1" applyAlignment="1">
      <alignment horizontal="center" wrapText="1"/>
    </xf>
    <xf numFmtId="0" fontId="1" fillId="55" borderId="54" xfId="0" applyFont="1" applyFill="1" applyBorder="1" applyAlignment="1">
      <alignment horizontal="center" wrapText="1"/>
    </xf>
    <xf numFmtId="0" fontId="1" fillId="55" borderId="40" xfId="0" applyFont="1" applyFill="1" applyBorder="1" applyAlignment="1">
      <alignment horizontal="center" wrapText="1"/>
    </xf>
    <xf numFmtId="0" fontId="0" fillId="55" borderId="55" xfId="0" applyFill="1" applyBorder="1" applyAlignment="1">
      <alignment horizontal="center" wrapText="1"/>
    </xf>
    <xf numFmtId="0" fontId="1" fillId="55" borderId="40" xfId="0" applyFont="1" applyFill="1" applyBorder="1" applyAlignment="1">
      <alignment horizontal="center" wrapText="1"/>
    </xf>
    <xf numFmtId="165" fontId="6" fillId="55" borderId="40" xfId="69" applyNumberFormat="1" applyFont="1" applyFill="1" applyBorder="1" applyAlignment="1">
      <alignment/>
    </xf>
    <xf numFmtId="165" fontId="9" fillId="56" borderId="40" xfId="69" applyNumberFormat="1" applyFont="1" applyFill="1" applyBorder="1" applyAlignment="1">
      <alignment horizontal="right" vertical="center"/>
    </xf>
    <xf numFmtId="165" fontId="30" fillId="56" borderId="40" xfId="69" applyNumberFormat="1" applyFont="1" applyFill="1" applyBorder="1" applyAlignment="1">
      <alignment horizontal="right" vertical="center"/>
    </xf>
    <xf numFmtId="165" fontId="31" fillId="56" borderId="40" xfId="69" applyNumberFormat="1" applyFont="1" applyFill="1" applyBorder="1" applyAlignment="1">
      <alignment horizontal="right" vertical="center"/>
    </xf>
    <xf numFmtId="165" fontId="32" fillId="56" borderId="40" xfId="69" applyNumberFormat="1" applyFont="1" applyFill="1" applyBorder="1" applyAlignment="1">
      <alignment horizontal="right" vertical="center"/>
    </xf>
    <xf numFmtId="165" fontId="33" fillId="55" borderId="40" xfId="69" applyNumberFormat="1" applyFont="1" applyFill="1" applyBorder="1" applyAlignment="1">
      <alignment/>
    </xf>
    <xf numFmtId="165" fontId="11" fillId="56" borderId="40" xfId="69" applyNumberFormat="1" applyFont="1" applyFill="1" applyBorder="1" applyAlignment="1">
      <alignment horizontal="right" vertical="center"/>
    </xf>
    <xf numFmtId="165" fontId="7" fillId="56" borderId="40" xfId="69" applyNumberFormat="1" applyFont="1" applyFill="1" applyBorder="1" applyAlignment="1">
      <alignment horizontal="right" vertical="center"/>
    </xf>
    <xf numFmtId="165" fontId="30" fillId="0" borderId="40" xfId="69" applyNumberFormat="1" applyFont="1" applyFill="1" applyBorder="1" applyAlignment="1">
      <alignment horizontal="right" vertical="center"/>
    </xf>
    <xf numFmtId="165" fontId="7" fillId="0" borderId="40" xfId="69" applyNumberFormat="1" applyFont="1" applyFill="1" applyBorder="1" applyAlignment="1">
      <alignment horizontal="right" vertical="center"/>
    </xf>
    <xf numFmtId="165" fontId="44" fillId="0" borderId="40" xfId="69" applyNumberFormat="1" applyFont="1" applyFill="1" applyBorder="1" applyAlignment="1">
      <alignment horizontal="right" vertical="center"/>
    </xf>
  </cellXfs>
  <cellStyles count="12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3" xfId="74"/>
    <cellStyle name="Comma 3 2" xfId="75"/>
    <cellStyle name="Comma 3 3" xfId="76"/>
    <cellStyle name="Comma 4" xfId="77"/>
    <cellStyle name="Comma 4 2" xfId="78"/>
    <cellStyle name="Comma 5" xfId="79"/>
    <cellStyle name="Currency" xfId="80"/>
    <cellStyle name="Currency [0]" xfId="81"/>
    <cellStyle name="Currency 2" xfId="82"/>
    <cellStyle name="Currency 2 2" xfId="83"/>
    <cellStyle name="Currency 2 3" xfId="84"/>
    <cellStyle name="Currency 3" xfId="85"/>
    <cellStyle name="Currency 3 2" xfId="86"/>
    <cellStyle name="Currency 3 3" xfId="87"/>
    <cellStyle name="Currency 4" xfId="88"/>
    <cellStyle name="Currency 5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2" xfId="110"/>
    <cellStyle name="Normal 2 2" xfId="111"/>
    <cellStyle name="Normal 3" xfId="112"/>
    <cellStyle name="Normal 3 2" xfId="113"/>
    <cellStyle name="Normal 4" xfId="114"/>
    <cellStyle name="Normal 5" xfId="115"/>
    <cellStyle name="Normal_AA Calculation" xfId="116"/>
    <cellStyle name="Note" xfId="117"/>
    <cellStyle name="Note 2" xfId="118"/>
    <cellStyle name="Note 2 2" xfId="119"/>
    <cellStyle name="Output" xfId="120"/>
    <cellStyle name="Output 2" xfId="121"/>
    <cellStyle name="Output Amounts" xfId="122"/>
    <cellStyle name="Output Column Headings" xfId="123"/>
    <cellStyle name="Output Line Items" xfId="124"/>
    <cellStyle name="Output Report Heading" xfId="125"/>
    <cellStyle name="Output Report Title" xfId="126"/>
    <cellStyle name="Percent" xfId="127"/>
    <cellStyle name="Percent 2" xfId="128"/>
    <cellStyle name="Percent 2 2" xfId="129"/>
    <cellStyle name="Percent 3" xfId="130"/>
    <cellStyle name="Percent 3 2" xfId="131"/>
    <cellStyle name="Percent 3 3" xfId="132"/>
    <cellStyle name="Percent 4" xfId="133"/>
    <cellStyle name="Percent 4 2" xfId="134"/>
    <cellStyle name="Percent 5" xfId="135"/>
    <cellStyle name="Title" xfId="136"/>
    <cellStyle name="Title 2" xfId="137"/>
    <cellStyle name="Total" xfId="138"/>
    <cellStyle name="Total 2" xfId="139"/>
    <cellStyle name="Warning Text" xfId="140"/>
    <cellStyle name="Warning Text 2" xfId="141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view="pageBreakPreview" zoomScale="60" zoomScalePageLayoutView="0" workbookViewId="0" topLeftCell="A1">
      <pane xSplit="3" ySplit="11" topLeftCell="D12" activePane="bottomRight" state="frozen"/>
      <selection pane="topLeft" activeCell="B45" sqref="B45"/>
      <selection pane="topRight" activeCell="B45" sqref="B45"/>
      <selection pane="bottomLeft" activeCell="B45" sqref="B45"/>
      <selection pane="bottomRight" activeCell="A1" sqref="A1:IV16384"/>
    </sheetView>
  </sheetViews>
  <sheetFormatPr defaultColWidth="9.140625" defaultRowHeight="12.75"/>
  <cols>
    <col min="1" max="1" width="6.8515625" style="0" bestFit="1" customWidth="1"/>
    <col min="2" max="2" width="63.8515625" style="0" customWidth="1"/>
    <col min="3" max="3" width="1.8515625" style="0" customWidth="1"/>
    <col min="4" max="4" width="21.8515625" style="0" bestFit="1" customWidth="1"/>
    <col min="5" max="5" width="19.00390625" style="0" bestFit="1" customWidth="1"/>
    <col min="6" max="6" width="17.28125" style="0" bestFit="1" customWidth="1"/>
    <col min="7" max="7" width="8.421875" style="0" bestFit="1" customWidth="1"/>
    <col min="8" max="8" width="21.57421875" style="0" bestFit="1" customWidth="1"/>
    <col min="9" max="9" width="1.8515625" style="0" customWidth="1"/>
    <col min="10" max="10" width="19.421875" style="0" bestFit="1" customWidth="1"/>
    <col min="11" max="11" width="20.421875" style="0" bestFit="1" customWidth="1"/>
    <col min="12" max="12" width="2.00390625" style="0" customWidth="1"/>
    <col min="13" max="13" width="20.57421875" style="0" bestFit="1" customWidth="1"/>
    <col min="14" max="14" width="20.421875" style="0" bestFit="1" customWidth="1"/>
    <col min="15" max="15" width="1.421875" style="0" customWidth="1"/>
    <col min="16" max="16" width="12.00390625" style="0" bestFit="1" customWidth="1"/>
    <col min="17" max="17" width="19.00390625" style="0" bestFit="1" customWidth="1"/>
    <col min="18" max="18" width="25.140625" style="0" bestFit="1" customWidth="1"/>
    <col min="19" max="19" width="1.28515625" style="0" customWidth="1"/>
    <col min="20" max="20" width="23.7109375" style="0" bestFit="1" customWidth="1"/>
    <col min="21" max="21" width="18.28125" style="0" bestFit="1" customWidth="1"/>
    <col min="22" max="22" width="1.421875" style="0" customWidth="1"/>
    <col min="25" max="25" width="9.7109375" style="0" bestFit="1" customWidth="1"/>
  </cols>
  <sheetData>
    <row r="1" ht="12.75">
      <c r="A1" s="1"/>
    </row>
    <row r="2" spans="1:21" ht="50.25" customHeight="1">
      <c r="A2" s="157" t="s">
        <v>21</v>
      </c>
      <c r="B2" s="391" t="s">
        <v>273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</row>
    <row r="3" spans="1:21" ht="18" customHeight="1">
      <c r="A3" s="1">
        <f>ROW()</f>
        <v>3</v>
      </c>
      <c r="B3" s="392" t="s">
        <v>313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</row>
    <row r="4" ht="12.75">
      <c r="A4" s="1">
        <f>ROW()</f>
        <v>4</v>
      </c>
    </row>
    <row r="5" spans="1:21" ht="15.75">
      <c r="A5" s="1">
        <f>ROW()</f>
        <v>5</v>
      </c>
      <c r="B5" s="156" t="s">
        <v>0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19</v>
      </c>
      <c r="I5" s="95"/>
      <c r="J5" s="95" t="s">
        <v>18</v>
      </c>
      <c r="K5" s="95" t="s">
        <v>20</v>
      </c>
      <c r="L5" s="95"/>
      <c r="M5" s="95" t="s">
        <v>22</v>
      </c>
      <c r="N5" s="95" t="s">
        <v>24</v>
      </c>
      <c r="O5" s="95"/>
      <c r="P5" s="95" t="s">
        <v>25</v>
      </c>
      <c r="Q5" s="95" t="s">
        <v>64</v>
      </c>
      <c r="R5" s="95" t="s">
        <v>32</v>
      </c>
      <c r="S5" s="95"/>
      <c r="T5" s="95" t="s">
        <v>37</v>
      </c>
      <c r="U5" s="95" t="s">
        <v>113</v>
      </c>
    </row>
    <row r="6" ht="12.75">
      <c r="A6" s="1">
        <f>ROW()</f>
        <v>6</v>
      </c>
    </row>
    <row r="7" spans="1:21" ht="12.75">
      <c r="A7" s="1">
        <f>ROW()</f>
        <v>7</v>
      </c>
      <c r="B7" s="156" t="s">
        <v>6</v>
      </c>
      <c r="D7" s="156"/>
      <c r="E7" s="156"/>
      <c r="F7" s="156" t="s">
        <v>274</v>
      </c>
      <c r="G7" s="156" t="s">
        <v>319</v>
      </c>
      <c r="H7" s="156" t="s">
        <v>320</v>
      </c>
      <c r="I7" s="156"/>
      <c r="J7" s="156" t="s">
        <v>321</v>
      </c>
      <c r="K7" s="156" t="s">
        <v>322</v>
      </c>
      <c r="L7" s="156"/>
      <c r="M7" s="156" t="s">
        <v>323</v>
      </c>
      <c r="N7" s="156" t="s">
        <v>324</v>
      </c>
      <c r="O7" s="156"/>
      <c r="P7" s="156"/>
      <c r="Q7" s="156" t="s">
        <v>325</v>
      </c>
      <c r="R7" s="156" t="s">
        <v>326</v>
      </c>
      <c r="S7" s="156"/>
      <c r="T7" s="156"/>
      <c r="U7" s="156" t="s">
        <v>327</v>
      </c>
    </row>
    <row r="8" spans="1:2" ht="13.5" thickBot="1">
      <c r="A8" s="1">
        <f>ROW()</f>
        <v>8</v>
      </c>
      <c r="B8" s="156"/>
    </row>
    <row r="9" spans="1:22" ht="13.5" thickTop="1">
      <c r="A9" s="1">
        <f>ROW()</f>
        <v>9</v>
      </c>
      <c r="B9" s="158"/>
      <c r="C9" s="145"/>
      <c r="D9" s="145"/>
      <c r="E9" s="145"/>
      <c r="F9" s="145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46"/>
    </row>
    <row r="10" spans="1:22" ht="59.25" customHeight="1">
      <c r="A10" s="1">
        <f>ROW()</f>
        <v>10</v>
      </c>
      <c r="B10" s="160"/>
      <c r="C10" s="149"/>
      <c r="D10" s="385" t="s">
        <v>275</v>
      </c>
      <c r="E10" s="386"/>
      <c r="F10" s="386"/>
      <c r="G10" s="386"/>
      <c r="H10" s="387"/>
      <c r="I10" s="161"/>
      <c r="J10" s="388" t="s">
        <v>276</v>
      </c>
      <c r="K10" s="389"/>
      <c r="L10" s="162"/>
      <c r="M10" s="385" t="s">
        <v>277</v>
      </c>
      <c r="N10" s="387"/>
      <c r="O10" s="162"/>
      <c r="P10" s="388" t="s">
        <v>315</v>
      </c>
      <c r="Q10" s="390"/>
      <c r="R10" s="389"/>
      <c r="S10" s="214"/>
      <c r="T10" s="385" t="s">
        <v>316</v>
      </c>
      <c r="U10" s="387"/>
      <c r="V10" s="147"/>
    </row>
    <row r="11" spans="1:22" ht="38.25">
      <c r="A11" s="1">
        <f>ROW()</f>
        <v>11</v>
      </c>
      <c r="B11" s="160"/>
      <c r="C11" s="149"/>
      <c r="D11" s="163" t="s">
        <v>278</v>
      </c>
      <c r="E11" s="164" t="s">
        <v>318</v>
      </c>
      <c r="F11" s="164" t="s">
        <v>305</v>
      </c>
      <c r="G11" s="165" t="s">
        <v>248</v>
      </c>
      <c r="H11" s="166" t="s">
        <v>279</v>
      </c>
      <c r="I11" s="165"/>
      <c r="J11" s="163" t="s">
        <v>280</v>
      </c>
      <c r="K11" s="167" t="s">
        <v>281</v>
      </c>
      <c r="L11" s="165"/>
      <c r="M11" s="163" t="s">
        <v>282</v>
      </c>
      <c r="N11" s="167" t="s">
        <v>283</v>
      </c>
      <c r="O11" s="164"/>
      <c r="P11" s="163" t="s">
        <v>328</v>
      </c>
      <c r="Q11" s="164" t="s">
        <v>335</v>
      </c>
      <c r="R11" s="167" t="s">
        <v>314</v>
      </c>
      <c r="S11" s="164"/>
      <c r="T11" s="168" t="s">
        <v>284</v>
      </c>
      <c r="U11" s="166" t="s">
        <v>285</v>
      </c>
      <c r="V11" s="147"/>
    </row>
    <row r="12" spans="1:22" ht="18">
      <c r="A12" s="1">
        <f>ROW()</f>
        <v>12</v>
      </c>
      <c r="B12" s="169" t="s">
        <v>7</v>
      </c>
      <c r="C12" s="149"/>
      <c r="D12" s="148"/>
      <c r="E12" s="149"/>
      <c r="F12" s="149"/>
      <c r="G12" s="28"/>
      <c r="H12" s="30"/>
      <c r="I12" s="28"/>
      <c r="J12" s="37"/>
      <c r="K12" s="150"/>
      <c r="L12" s="28"/>
      <c r="M12" s="37"/>
      <c r="N12" s="30"/>
      <c r="O12" s="28"/>
      <c r="P12" s="215"/>
      <c r="Q12" s="28"/>
      <c r="R12" s="216"/>
      <c r="T12" s="148"/>
      <c r="U12" s="150"/>
      <c r="V12" s="147"/>
    </row>
    <row r="13" spans="1:22" ht="12" customHeight="1">
      <c r="A13" s="1"/>
      <c r="B13" s="170"/>
      <c r="C13" s="149"/>
      <c r="D13" s="151"/>
      <c r="E13" s="142"/>
      <c r="F13" s="142"/>
      <c r="G13" s="29"/>
      <c r="H13" s="171"/>
      <c r="I13" s="29"/>
      <c r="J13" s="172"/>
      <c r="K13" s="150"/>
      <c r="L13" s="29"/>
      <c r="M13" s="172"/>
      <c r="N13" s="171"/>
      <c r="O13" s="29"/>
      <c r="P13" s="215"/>
      <c r="Q13" s="29"/>
      <c r="R13" s="222"/>
      <c r="T13" s="148"/>
      <c r="U13" s="150"/>
      <c r="V13" s="147"/>
    </row>
    <row r="14" spans="1:22" ht="12.75">
      <c r="A14" s="1">
        <f>ROW()</f>
        <v>14</v>
      </c>
      <c r="B14" s="173" t="s">
        <v>286</v>
      </c>
      <c r="C14" s="149"/>
      <c r="D14" s="151"/>
      <c r="E14" s="142"/>
      <c r="F14" s="142"/>
      <c r="G14" s="29"/>
      <c r="H14" s="171"/>
      <c r="I14" s="29"/>
      <c r="J14" s="172"/>
      <c r="K14" s="150"/>
      <c r="L14" s="29"/>
      <c r="M14" s="172"/>
      <c r="N14" s="171"/>
      <c r="O14" s="29"/>
      <c r="P14" s="215"/>
      <c r="Q14" s="184"/>
      <c r="R14" s="217"/>
      <c r="T14" s="148"/>
      <c r="U14" s="150"/>
      <c r="V14" s="147"/>
    </row>
    <row r="15" spans="1:22" ht="12.75">
      <c r="A15" s="1"/>
      <c r="B15" s="173"/>
      <c r="C15" s="149"/>
      <c r="D15" s="151"/>
      <c r="E15" s="142"/>
      <c r="F15" s="142"/>
      <c r="G15" s="29"/>
      <c r="H15" s="171"/>
      <c r="I15" s="29"/>
      <c r="J15" s="172"/>
      <c r="K15" s="150"/>
      <c r="L15" s="29"/>
      <c r="M15" s="172"/>
      <c r="N15" s="171"/>
      <c r="O15" s="29"/>
      <c r="P15" s="215"/>
      <c r="Q15" s="184"/>
      <c r="R15" s="217"/>
      <c r="T15" s="148"/>
      <c r="U15" s="150"/>
      <c r="V15" s="147"/>
    </row>
    <row r="16" spans="1:26" ht="12.75">
      <c r="A16" s="1">
        <f>ROW()</f>
        <v>16</v>
      </c>
      <c r="B16" s="174" t="s">
        <v>287</v>
      </c>
      <c r="C16" s="149"/>
      <c r="D16" s="175">
        <f>'BCF Allocation'!AA19</f>
        <v>219426345.44063106</v>
      </c>
      <c r="E16" s="176">
        <f>'Data Inputs - 2011'!O68</f>
        <v>204419927.2606312</v>
      </c>
      <c r="F16" s="176">
        <f>ROUND(D16-E16,0)</f>
        <v>15006418</v>
      </c>
      <c r="G16" s="177">
        <f>+IF(OR(E16=0,D16="NA",E16="NA"),"NA",F16/E16)</f>
        <v>0.07340976098121357</v>
      </c>
      <c r="H16" s="178">
        <f>IF(G16=0,0,+F16/F$32)</f>
        <v>0.41126535309515283</v>
      </c>
      <c r="I16" s="177"/>
      <c r="J16" s="179">
        <f>+H16*J$32</f>
        <v>692532.1956690464</v>
      </c>
      <c r="K16" s="180">
        <f>+F16+J16</f>
        <v>15698950.195669046</v>
      </c>
      <c r="L16" s="181"/>
      <c r="M16" s="371">
        <f>+H16*M$32</f>
        <v>-1500641.8822530706</v>
      </c>
      <c r="N16" s="183">
        <f>+K16+M16</f>
        <v>14198308.313415974</v>
      </c>
      <c r="O16" s="184"/>
      <c r="P16" s="196">
        <f>F16/($F$32-($F$24*(('Data Inputs - 2012'!$N$38-'AA Calculation'!$T$24)/'Data Inputs - 2012'!$N$38)))</f>
        <v>0.45562783895926673</v>
      </c>
      <c r="Q16" s="218">
        <f>P16*$Q$32</f>
        <v>1531547.0829426164</v>
      </c>
      <c r="R16" s="217">
        <f>N16+Q16</f>
        <v>15729855.39635859</v>
      </c>
      <c r="T16" s="220">
        <v>4256431755.701</v>
      </c>
      <c r="U16" s="186">
        <f>+ROUND(R16/T16*100,3)</f>
        <v>0.37</v>
      </c>
      <c r="V16" s="187"/>
      <c r="Y16" s="212"/>
      <c r="Z16" s="227"/>
    </row>
    <row r="17" spans="1:26" ht="12.75">
      <c r="A17" s="1">
        <f>ROW()</f>
        <v>17</v>
      </c>
      <c r="B17" s="174"/>
      <c r="C17" s="149"/>
      <c r="D17" s="175"/>
      <c r="E17" s="176"/>
      <c r="F17" s="176"/>
      <c r="G17" s="177"/>
      <c r="H17" s="178"/>
      <c r="I17" s="177"/>
      <c r="J17" s="179"/>
      <c r="K17" s="180"/>
      <c r="L17" s="181"/>
      <c r="M17" s="182"/>
      <c r="N17" s="183"/>
      <c r="O17" s="184"/>
      <c r="P17" s="195"/>
      <c r="Q17" s="184"/>
      <c r="R17" s="150"/>
      <c r="T17" s="148"/>
      <c r="U17" s="150"/>
      <c r="V17" s="187"/>
      <c r="Y17" s="212"/>
      <c r="Z17" s="227"/>
    </row>
    <row r="18" spans="1:26" ht="12.75">
      <c r="A18" s="1">
        <f>ROW()</f>
        <v>18</v>
      </c>
      <c r="B18" s="174" t="s">
        <v>11</v>
      </c>
      <c r="C18" s="149"/>
      <c r="D18" s="175">
        <f>'BCF Allocation'!AA21</f>
        <v>12529994.715211146</v>
      </c>
      <c r="E18" s="176">
        <f>'Data Inputs - 2011'!O69</f>
        <v>11731899.710300973</v>
      </c>
      <c r="F18" s="176">
        <f aca="true" t="shared" si="0" ref="F18:F26">ROUND(D18-E18,0)</f>
        <v>798095</v>
      </c>
      <c r="G18" s="177">
        <f aca="true" t="shared" si="1" ref="G18:G27">+IF(OR(E18=0,D18="NA",E18="NA"),"NA",F18/E18)</f>
        <v>0.06802777211769444</v>
      </c>
      <c r="H18" s="178">
        <f aca="true" t="shared" si="2" ref="H18:H26">IF(G18=0,0,+F18/F$32)</f>
        <v>0.021872562924641712</v>
      </c>
      <c r="I18" s="177"/>
      <c r="J18" s="179">
        <f aca="true" t="shared" si="3" ref="J18:J26">+H18*J$32</f>
        <v>36831.339944181724</v>
      </c>
      <c r="K18" s="180">
        <f aca="true" t="shared" si="4" ref="K18:K26">+F18+J18</f>
        <v>834926.3399441817</v>
      </c>
      <c r="L18" s="181"/>
      <c r="M18" s="371">
        <f aca="true" t="shared" si="5" ref="M18:M26">+H18*M$32</f>
        <v>-79809.50437451259</v>
      </c>
      <c r="N18" s="183">
        <f aca="true" t="shared" si="6" ref="N18:N26">+K18+M18</f>
        <v>755116.8355696691</v>
      </c>
      <c r="O18" s="184"/>
      <c r="P18" s="196">
        <f>F18/($F$32-($F$24*(('Data Inputs - 2012'!$N$38-'AA Calculation'!$T$24)/'Data Inputs - 2012'!$N$38)))</f>
        <v>0.024231918645355337</v>
      </c>
      <c r="Q18" s="218">
        <f aca="true" t="shared" si="7" ref="Q18:Q26">P18*$Q$32</f>
        <v>81453.15352145245</v>
      </c>
      <c r="R18" s="217">
        <f aca="true" t="shared" si="8" ref="R18:R23">N18+Q18</f>
        <v>836569.9890911216</v>
      </c>
      <c r="T18" s="220">
        <v>223726062.413</v>
      </c>
      <c r="U18" s="186">
        <f aca="true" t="shared" si="9" ref="U18:U27">+ROUND(R18/T18*100,3)</f>
        <v>0.374</v>
      </c>
      <c r="V18" s="187"/>
      <c r="Y18" s="212"/>
      <c r="Z18" s="227"/>
    </row>
    <row r="19" spans="1:26" ht="12.75">
      <c r="A19" s="1">
        <f>ROW()</f>
        <v>19</v>
      </c>
      <c r="B19" s="174" t="s">
        <v>12</v>
      </c>
      <c r="C19" s="149"/>
      <c r="D19" s="175">
        <f>'BCF Allocation'!AA22</f>
        <v>130335780.72025886</v>
      </c>
      <c r="E19" s="176">
        <f>'Data Inputs - 2011'!O70</f>
        <v>121660524.23409534</v>
      </c>
      <c r="F19" s="176">
        <f t="shared" si="0"/>
        <v>8675256</v>
      </c>
      <c r="G19" s="177">
        <f t="shared" si="1"/>
        <v>0.0713070739635097</v>
      </c>
      <c r="H19" s="178">
        <f t="shared" si="2"/>
        <v>0.23775375456227085</v>
      </c>
      <c r="I19" s="177"/>
      <c r="J19" s="179">
        <f t="shared" si="3"/>
        <v>400354.97382993525</v>
      </c>
      <c r="K19" s="180">
        <f t="shared" si="4"/>
        <v>9075610.973829934</v>
      </c>
      <c r="L19" s="181"/>
      <c r="M19" s="371">
        <f t="shared" si="5"/>
        <v>-867525.647550751</v>
      </c>
      <c r="N19" s="183">
        <f t="shared" si="6"/>
        <v>8208085.326279184</v>
      </c>
      <c r="O19" s="184"/>
      <c r="P19" s="196">
        <f>F19/($F$32-($F$24*(('Data Inputs - 2012'!$N$38-'AA Calculation'!$T$24)/'Data Inputs - 2012'!$N$38)))</f>
        <v>0.26339984290044516</v>
      </c>
      <c r="Q19" s="218">
        <f t="shared" si="7"/>
        <v>885392.0382985753</v>
      </c>
      <c r="R19" s="217">
        <f t="shared" si="8"/>
        <v>9093477.364577759</v>
      </c>
      <c r="T19" s="220">
        <v>2439459240.789</v>
      </c>
      <c r="U19" s="186">
        <f t="shared" si="9"/>
        <v>0.373</v>
      </c>
      <c r="V19" s="187"/>
      <c r="Y19" s="212"/>
      <c r="Z19" s="227"/>
    </row>
    <row r="20" spans="1:26" ht="12.75">
      <c r="A20" s="1">
        <f>ROW()</f>
        <v>20</v>
      </c>
      <c r="B20" s="174" t="s">
        <v>13</v>
      </c>
      <c r="C20" s="149"/>
      <c r="D20" s="175">
        <f>'BCF Allocation'!AA23</f>
        <v>20142493.868116073</v>
      </c>
      <c r="E20" s="176">
        <f>'Data Inputs - 2011'!O71</f>
        <v>18853657.333581742</v>
      </c>
      <c r="F20" s="176">
        <f t="shared" si="0"/>
        <v>1288837</v>
      </c>
      <c r="G20" s="177">
        <f t="shared" si="1"/>
        <v>0.06836005222733896</v>
      </c>
      <c r="H20" s="178">
        <f t="shared" si="2"/>
        <v>0.03532182056284834</v>
      </c>
      <c r="I20" s="177"/>
      <c r="J20" s="179">
        <f t="shared" si="3"/>
        <v>59478.6255767037</v>
      </c>
      <c r="K20" s="180">
        <f t="shared" si="4"/>
        <v>1348315.6255767038</v>
      </c>
      <c r="L20" s="181"/>
      <c r="M20" s="371">
        <f t="shared" si="5"/>
        <v>-128883.7070643641</v>
      </c>
      <c r="N20" s="183">
        <f t="shared" si="6"/>
        <v>1219431.9185123397</v>
      </c>
      <c r="O20" s="184"/>
      <c r="P20" s="196">
        <f>F20/($F$32-($F$24*(('Data Inputs - 2012'!$N$38-'AA Calculation'!$T$24)/'Data Inputs - 2012'!$N$38)))</f>
        <v>0.03913192455926154</v>
      </c>
      <c r="Q20" s="218">
        <f t="shared" si="7"/>
        <v>131538.02244736304</v>
      </c>
      <c r="R20" s="217">
        <f>N20+Q20</f>
        <v>1350969.9409597027</v>
      </c>
      <c r="T20" s="220">
        <v>397470793.685</v>
      </c>
      <c r="U20" s="186">
        <f t="shared" si="9"/>
        <v>0.34</v>
      </c>
      <c r="V20" s="187"/>
      <c r="Y20" s="212"/>
      <c r="Z20" s="227"/>
    </row>
    <row r="21" spans="1:26" ht="12.75">
      <c r="A21" s="1">
        <f>ROW()</f>
        <v>21</v>
      </c>
      <c r="B21" s="174" t="s">
        <v>14</v>
      </c>
      <c r="C21" s="149"/>
      <c r="D21" s="175">
        <f>'BCF Allocation'!AA24</f>
        <v>12743639.59297607</v>
      </c>
      <c r="E21" s="176">
        <f>'Data Inputs - 2011'!O72</f>
        <v>11940320.947770119</v>
      </c>
      <c r="F21" s="176">
        <f t="shared" si="0"/>
        <v>803319</v>
      </c>
      <c r="G21" s="177">
        <f t="shared" si="1"/>
        <v>0.06727783980965953</v>
      </c>
      <c r="H21" s="178">
        <f t="shared" si="2"/>
        <v>0.022015731681141036</v>
      </c>
      <c r="I21" s="177"/>
      <c r="J21" s="179">
        <f t="shared" si="3"/>
        <v>37072.42267226348</v>
      </c>
      <c r="K21" s="180">
        <f>+F21+J21</f>
        <v>840391.4226722635</v>
      </c>
      <c r="L21" s="181"/>
      <c r="M21" s="371">
        <f t="shared" si="5"/>
        <v>-80331.90440314634</v>
      </c>
      <c r="N21" s="183">
        <f t="shared" si="6"/>
        <v>760059.5182691171</v>
      </c>
      <c r="O21" s="184"/>
      <c r="P21" s="196">
        <f>F21/($F$32-($F$24*(('Data Inputs - 2012'!$N$38-'AA Calculation'!$T$24)/'Data Inputs - 2012'!$N$38)))</f>
        <v>0.024390530769229483</v>
      </c>
      <c r="Q21" s="218">
        <f t="shared" si="7"/>
        <v>81986.31219804617</v>
      </c>
      <c r="R21" s="217">
        <f t="shared" si="8"/>
        <v>842045.8304671632</v>
      </c>
      <c r="T21" s="220">
        <v>257632430.481</v>
      </c>
      <c r="U21" s="186">
        <f t="shared" si="9"/>
        <v>0.327</v>
      </c>
      <c r="V21" s="187"/>
      <c r="Y21" s="212"/>
      <c r="Z21" s="227"/>
    </row>
    <row r="22" spans="1:26" ht="12.75">
      <c r="A22" s="1">
        <f>ROW()</f>
        <v>22</v>
      </c>
      <c r="B22" s="174" t="s">
        <v>15</v>
      </c>
      <c r="C22" s="149"/>
      <c r="D22" s="175">
        <f>'BCF Allocation'!AA25</f>
        <v>24024333.589272838</v>
      </c>
      <c r="E22" s="176">
        <f>'Data Inputs - 2011'!O73</f>
        <v>22548908.170286182</v>
      </c>
      <c r="F22" s="176">
        <f t="shared" si="0"/>
        <v>1475425</v>
      </c>
      <c r="G22" s="177">
        <f t="shared" si="1"/>
        <v>0.06543221467122923</v>
      </c>
      <c r="H22" s="178">
        <f t="shared" si="2"/>
        <v>0.04043544459380086</v>
      </c>
      <c r="I22" s="177"/>
      <c r="J22" s="179">
        <f t="shared" si="3"/>
        <v>68089.48776416882</v>
      </c>
      <c r="K22" s="180">
        <f t="shared" si="4"/>
        <v>1543514.4877641688</v>
      </c>
      <c r="L22" s="181"/>
      <c r="M22" s="371">
        <f t="shared" si="5"/>
        <v>-147542.5080870889</v>
      </c>
      <c r="N22" s="183">
        <f t="shared" si="6"/>
        <v>1395971.97967708</v>
      </c>
      <c r="O22" s="184"/>
      <c r="P22" s="196">
        <f>F22/($F$32-($F$24*(('Data Inputs - 2012'!$N$38-'AA Calculation'!$T$24)/'Data Inputs - 2012'!$N$38)))</f>
        <v>0.04479714641405271</v>
      </c>
      <c r="Q22" s="218">
        <f t="shared" si="7"/>
        <v>150581.09502551574</v>
      </c>
      <c r="R22" s="217">
        <f t="shared" si="8"/>
        <v>1546553.0747025956</v>
      </c>
      <c r="T22" s="220">
        <v>505845218.619</v>
      </c>
      <c r="U22" s="186">
        <f t="shared" si="9"/>
        <v>0.306</v>
      </c>
      <c r="V22" s="187"/>
      <c r="Y22" s="212"/>
      <c r="Z22" s="227"/>
    </row>
    <row r="23" spans="1:26" ht="12.75">
      <c r="A23" s="1">
        <f>ROW()</f>
        <v>23</v>
      </c>
      <c r="B23" s="174" t="s">
        <v>16</v>
      </c>
      <c r="C23" s="149"/>
      <c r="D23" s="175">
        <f>'BCF Allocation'!AA26</f>
        <v>43544947.77492148</v>
      </c>
      <c r="E23" s="176">
        <f>'Data Inputs - 2011'!O74</f>
        <v>40789969.59545616</v>
      </c>
      <c r="F23" s="176">
        <f t="shared" si="0"/>
        <v>2754978</v>
      </c>
      <c r="G23" s="177">
        <f t="shared" si="1"/>
        <v>0.06754057498260292</v>
      </c>
      <c r="H23" s="178">
        <f t="shared" si="2"/>
        <v>0.07550282818587208</v>
      </c>
      <c r="I23" s="177"/>
      <c r="J23" s="179">
        <f t="shared" si="3"/>
        <v>127139.6653991591</v>
      </c>
      <c r="K23" s="180">
        <f t="shared" si="4"/>
        <v>2882117.6653991593</v>
      </c>
      <c r="L23" s="181"/>
      <c r="M23" s="371">
        <f t="shared" si="5"/>
        <v>-275497.81510056567</v>
      </c>
      <c r="N23" s="183">
        <f t="shared" si="6"/>
        <v>2606619.8502985938</v>
      </c>
      <c r="O23" s="184"/>
      <c r="P23" s="196">
        <f>F23/($F$32-($F$24*(('Data Inputs - 2012'!$N$38-'AA Calculation'!$T$24)/'Data Inputs - 2012'!$N$38)))</f>
        <v>0.08364718832437712</v>
      </c>
      <c r="Q23" s="218">
        <f t="shared" si="7"/>
        <v>281171.5973439553</v>
      </c>
      <c r="R23" s="217">
        <f t="shared" si="8"/>
        <v>2887791.447642549</v>
      </c>
      <c r="T23" s="220">
        <v>936296194.4990001</v>
      </c>
      <c r="U23" s="186">
        <f t="shared" si="9"/>
        <v>0.308</v>
      </c>
      <c r="V23" s="187"/>
      <c r="Y23" s="212"/>
      <c r="Z23" s="227"/>
    </row>
    <row r="24" spans="1:26" ht="12.75">
      <c r="A24" s="1">
        <f>ROW()</f>
        <v>24</v>
      </c>
      <c r="B24" s="174" t="s">
        <v>38</v>
      </c>
      <c r="C24" s="149"/>
      <c r="D24" s="175">
        <f>'BCF Allocation'!AA27</f>
        <v>62574754.13842918</v>
      </c>
      <c r="E24" s="176">
        <f>'Data Inputs - 2011'!O75</f>
        <v>57879895.21545</v>
      </c>
      <c r="F24" s="176">
        <f t="shared" si="0"/>
        <v>4694859</v>
      </c>
      <c r="G24" s="177">
        <f t="shared" si="1"/>
        <v>0.08111381305242571</v>
      </c>
      <c r="H24" s="178">
        <f t="shared" si="2"/>
        <v>0.12866713724534104</v>
      </c>
      <c r="I24" s="177"/>
      <c r="J24" s="179">
        <f t="shared" si="3"/>
        <v>216663.36441025324</v>
      </c>
      <c r="K24" s="180">
        <f t="shared" si="4"/>
        <v>4911522.364410253</v>
      </c>
      <c r="L24" s="181"/>
      <c r="M24" s="371">
        <f t="shared" si="5"/>
        <v>-469485.92573342746</v>
      </c>
      <c r="N24" s="183">
        <f t="shared" si="6"/>
        <v>4442036.438676826</v>
      </c>
      <c r="O24" s="184"/>
      <c r="P24" s="196">
        <f>(F24-(F24*(('Data Inputs - 2012'!N38-'AA Calculation'!T24)/'Data Inputs - 2012'!N38)))/($F$32-($F$24*(('Data Inputs - 2012'!N38-'AA Calculation'!T24)/'Data Inputs - 2012'!N38)))</f>
        <v>0.034677960875436425</v>
      </c>
      <c r="Q24" s="218">
        <f t="shared" si="7"/>
        <v>116566.47219469171</v>
      </c>
      <c r="R24" s="217">
        <f>N24-Q32+Q24</f>
        <v>1197203.6459781858</v>
      </c>
      <c r="T24" s="223">
        <v>441378432</v>
      </c>
      <c r="U24" s="186">
        <f>+ROUND(R24/T24*100,3)</f>
        <v>0.271</v>
      </c>
      <c r="V24" s="187"/>
      <c r="Y24" s="212"/>
      <c r="Z24" s="227"/>
    </row>
    <row r="25" spans="1:26" ht="12.75">
      <c r="A25" s="1">
        <f>ROW()</f>
        <v>25</v>
      </c>
      <c r="B25" s="174" t="s">
        <v>17</v>
      </c>
      <c r="C25" s="149"/>
      <c r="D25" s="175">
        <f>'BCF Allocation'!AA28</f>
        <v>9429232.533132052</v>
      </c>
      <c r="E25" s="176">
        <f>'Data Inputs - 2011'!O76</f>
        <v>8793898.375836803</v>
      </c>
      <c r="F25" s="176">
        <f t="shared" si="0"/>
        <v>635334</v>
      </c>
      <c r="G25" s="177">
        <f t="shared" si="1"/>
        <v>0.07224713919207003</v>
      </c>
      <c r="H25" s="178">
        <f t="shared" si="2"/>
        <v>0.017411940800486553</v>
      </c>
      <c r="I25" s="177"/>
      <c r="J25" s="179">
        <f t="shared" si="3"/>
        <v>29320.071585584108</v>
      </c>
      <c r="K25" s="180">
        <f t="shared" si="4"/>
        <v>664654.0715855841</v>
      </c>
      <c r="L25" s="181"/>
      <c r="M25" s="371">
        <f t="shared" si="5"/>
        <v>-63533.40348238815</v>
      </c>
      <c r="N25" s="183">
        <f t="shared" si="6"/>
        <v>601120.668103196</v>
      </c>
      <c r="O25" s="184"/>
      <c r="P25" s="196">
        <f>F25/($F$32-($F$24*(('Data Inputs - 2012'!$N$38-'AA Calculation'!$T$24)/'Data Inputs - 2012'!$N$38)))</f>
        <v>0.019290136889252768</v>
      </c>
      <c r="Q25" s="218">
        <f t="shared" si="7"/>
        <v>64841.85195922599</v>
      </c>
      <c r="R25" s="217">
        <f>N25+Q25</f>
        <v>665962.5200624219</v>
      </c>
      <c r="T25" s="220">
        <v>194541877.01</v>
      </c>
      <c r="U25" s="186">
        <f t="shared" si="9"/>
        <v>0.342</v>
      </c>
      <c r="V25" s="187"/>
      <c r="Y25" s="212"/>
      <c r="Z25" s="227"/>
    </row>
    <row r="26" spans="1:26" ht="15">
      <c r="A26" s="1">
        <f>ROW()</f>
        <v>26</v>
      </c>
      <c r="B26" s="174" t="s">
        <v>163</v>
      </c>
      <c r="C26" s="149"/>
      <c r="D26" s="188">
        <f>'BCF Allocation'!AA29</f>
        <v>5843712.682648153</v>
      </c>
      <c r="E26" s="189">
        <f>'Data Inputs - 2011'!O77</f>
        <v>5487825.752900037</v>
      </c>
      <c r="F26" s="189">
        <f t="shared" si="0"/>
        <v>355887</v>
      </c>
      <c r="G26" s="190">
        <f t="shared" si="1"/>
        <v>0.06485027331852361</v>
      </c>
      <c r="H26" s="178">
        <f t="shared" si="2"/>
        <v>0.009753426348444689</v>
      </c>
      <c r="I26" s="190"/>
      <c r="J26" s="179">
        <f t="shared" si="3"/>
        <v>16423.853148704104</v>
      </c>
      <c r="K26" s="180">
        <f t="shared" si="4"/>
        <v>372310.8531487041</v>
      </c>
      <c r="L26" s="181"/>
      <c r="M26" s="371">
        <f t="shared" si="5"/>
        <v>-35588.70195068527</v>
      </c>
      <c r="N26" s="183">
        <f t="shared" si="6"/>
        <v>336722.1511980188</v>
      </c>
      <c r="O26" s="184"/>
      <c r="P26" s="196">
        <f>F26/($F$32-($F$24*(('Data Inputs - 2012'!$N$38-'AA Calculation'!$T$24)/'Data Inputs - 2012'!$N$38)))</f>
        <v>0.010805511663322756</v>
      </c>
      <c r="Q26" s="218">
        <f t="shared" si="7"/>
        <v>36321.63896188943</v>
      </c>
      <c r="R26" s="217">
        <f>N26+Q26</f>
        <v>373043.79015990824</v>
      </c>
      <c r="T26" s="220">
        <v>112280645.098</v>
      </c>
      <c r="U26" s="186">
        <f t="shared" si="9"/>
        <v>0.332</v>
      </c>
      <c r="V26" s="191"/>
      <c r="Y26" s="212"/>
      <c r="Z26" s="227"/>
    </row>
    <row r="27" spans="1:26" ht="12.75">
      <c r="A27" s="1">
        <f>ROW()</f>
        <v>27</v>
      </c>
      <c r="B27" s="160" t="s">
        <v>288</v>
      </c>
      <c r="C27" s="149"/>
      <c r="D27" s="175">
        <f>SUM(D16:D26)</f>
        <v>540595235.055597</v>
      </c>
      <c r="E27" s="176">
        <f>SUM(E16:E26)</f>
        <v>504106826.5963086</v>
      </c>
      <c r="F27" s="176">
        <f>SUM(F16:F26)</f>
        <v>36488408</v>
      </c>
      <c r="G27" s="177">
        <f t="shared" si="1"/>
        <v>0.07238229294843514</v>
      </c>
      <c r="H27" s="178">
        <f>SUM(H16:H26)</f>
        <v>1.0000000000000002</v>
      </c>
      <c r="I27" s="177"/>
      <c r="J27" s="179">
        <f>SUM(J16:J26)</f>
        <v>1683906.0000000002</v>
      </c>
      <c r="K27" s="180">
        <f>SUM(K16:K26)</f>
        <v>38172314</v>
      </c>
      <c r="L27" s="181"/>
      <c r="M27" s="371">
        <f>SUM(M16:M26)</f>
        <v>-3648841</v>
      </c>
      <c r="N27" s="183">
        <f>SUM(N16:N26)</f>
        <v>34523473</v>
      </c>
      <c r="O27" s="184"/>
      <c r="P27" s="196">
        <f>SUM(P16:P26)</f>
        <v>1</v>
      </c>
      <c r="Q27" s="218">
        <f>P27*$Q$32</f>
        <v>3361399.2648933316</v>
      </c>
      <c r="R27" s="217">
        <f>SUM(R16:R26)</f>
        <v>34523473</v>
      </c>
      <c r="T27" s="185">
        <f>SUM(T16:T26)</f>
        <v>9765062650.295</v>
      </c>
      <c r="U27" s="186">
        <f t="shared" si="9"/>
        <v>0.354</v>
      </c>
      <c r="V27" s="192"/>
      <c r="Y27" s="212"/>
      <c r="Z27" s="227"/>
    </row>
    <row r="28" spans="1:26" ht="12.75">
      <c r="A28" s="1">
        <f>ROW()</f>
        <v>28</v>
      </c>
      <c r="B28" s="174"/>
      <c r="C28" s="149"/>
      <c r="D28" s="175"/>
      <c r="E28" s="176"/>
      <c r="F28" s="176"/>
      <c r="G28" s="177"/>
      <c r="H28" s="178"/>
      <c r="I28" s="177"/>
      <c r="J28" s="179"/>
      <c r="K28" s="180"/>
      <c r="L28" s="181"/>
      <c r="M28" s="182"/>
      <c r="N28" s="183"/>
      <c r="O28" s="184"/>
      <c r="P28" s="195"/>
      <c r="Q28" s="184"/>
      <c r="R28" s="150"/>
      <c r="T28" s="185"/>
      <c r="U28" s="150"/>
      <c r="V28" s="192"/>
      <c r="Y28" s="212"/>
      <c r="Z28" s="227"/>
    </row>
    <row r="29" spans="1:26" ht="12.75">
      <c r="A29" s="1">
        <f>ROW()</f>
        <v>29</v>
      </c>
      <c r="B29" s="160" t="s">
        <v>311</v>
      </c>
      <c r="C29" s="149"/>
      <c r="D29" s="179">
        <f>'BCF Allocation'!AA37</f>
        <v>10242554.280000003</v>
      </c>
      <c r="E29" s="176">
        <f>'Data Inputs - 2011'!O83</f>
        <v>10242554.280000003</v>
      </c>
      <c r="F29" s="176">
        <f>ROUND(D29-E29,0)</f>
        <v>0</v>
      </c>
      <c r="G29" s="177">
        <f>+IF(OR(E29=0,D29="NA",E29="NA"),"NA",F29/E29)</f>
        <v>0</v>
      </c>
      <c r="H29" s="178">
        <f>IF(G29=0,0,+F29/F$32)</f>
        <v>0</v>
      </c>
      <c r="I29" s="177"/>
      <c r="J29" s="179">
        <f>+H29*J$32</f>
        <v>0</v>
      </c>
      <c r="K29" s="180">
        <f>+F29+J29</f>
        <v>0</v>
      </c>
      <c r="L29" s="181"/>
      <c r="M29" s="182">
        <f>+H29*M$32</f>
        <v>0</v>
      </c>
      <c r="N29" s="183">
        <f>+K29+M29</f>
        <v>0</v>
      </c>
      <c r="O29" s="184"/>
      <c r="P29" s="196">
        <f>F29/($F$32-($F$24*(('Data Inputs - 2012'!$N$38-'AA Calculation'!$T$24)/'Data Inputs - 2012'!$N$38)))</f>
        <v>0</v>
      </c>
      <c r="Q29" s="218">
        <f>P29*$Q$32</f>
        <v>0</v>
      </c>
      <c r="R29" s="217">
        <f>N29+Q29</f>
        <v>0</v>
      </c>
      <c r="T29" s="185">
        <v>179928000</v>
      </c>
      <c r="U29" s="186">
        <f>+ROUND(R29/T29*100,3)</f>
        <v>0</v>
      </c>
      <c r="V29" s="192"/>
      <c r="Y29" s="212"/>
      <c r="Z29" s="227"/>
    </row>
    <row r="30" spans="1:26" ht="12.75">
      <c r="A30" s="1">
        <f>ROW()</f>
        <v>30</v>
      </c>
      <c r="B30" s="174"/>
      <c r="C30" s="149"/>
      <c r="D30" s="193"/>
      <c r="E30" s="194"/>
      <c r="F30" s="176"/>
      <c r="G30" s="177"/>
      <c r="H30" s="178"/>
      <c r="I30" s="177"/>
      <c r="J30" s="195"/>
      <c r="K30" s="183"/>
      <c r="L30" s="184"/>
      <c r="M30" s="182"/>
      <c r="N30" s="183"/>
      <c r="O30" s="184"/>
      <c r="P30" s="195"/>
      <c r="Q30" s="184"/>
      <c r="R30" s="150"/>
      <c r="T30" s="185"/>
      <c r="U30" s="150"/>
      <c r="V30" s="192"/>
      <c r="Y30" s="212"/>
      <c r="Z30" s="227"/>
    </row>
    <row r="31" spans="1:26" ht="12.75">
      <c r="A31" s="1">
        <f>ROW()</f>
        <v>31</v>
      </c>
      <c r="B31" s="174"/>
      <c r="C31" s="149"/>
      <c r="D31" s="193"/>
      <c r="E31" s="194"/>
      <c r="F31" s="176"/>
      <c r="G31" s="177"/>
      <c r="H31" s="178"/>
      <c r="I31" s="177"/>
      <c r="J31" s="196"/>
      <c r="K31" s="178"/>
      <c r="L31" s="177"/>
      <c r="M31" s="196"/>
      <c r="N31" s="183"/>
      <c r="O31" s="184"/>
      <c r="P31" s="195"/>
      <c r="Q31" s="184"/>
      <c r="R31" s="150"/>
      <c r="T31" s="185"/>
      <c r="U31" s="150"/>
      <c r="V31" s="192"/>
      <c r="Y31" s="212"/>
      <c r="Z31" s="227"/>
    </row>
    <row r="32" spans="1:26" ht="12.75">
      <c r="A32" s="1">
        <f>ROW()</f>
        <v>32</v>
      </c>
      <c r="B32" s="197" t="s">
        <v>312</v>
      </c>
      <c r="C32" s="149"/>
      <c r="D32" s="179">
        <f>+D27+D29*'Monthly Fuel Cost Allocation'!$A$2</f>
        <v>540595235.055597</v>
      </c>
      <c r="E32" s="181">
        <f>E27</f>
        <v>504106826.5963086</v>
      </c>
      <c r="F32" s="176">
        <f>+F27+F29</f>
        <v>36488408</v>
      </c>
      <c r="G32" s="177">
        <f>+IF(OR(E32=0,D32="NA",E32="NA"),"NA",F32/E32)</f>
        <v>0.07238229294843514</v>
      </c>
      <c r="H32" s="178">
        <f>+H27+H29</f>
        <v>1.0000000000000002</v>
      </c>
      <c r="I32" s="177"/>
      <c r="J32" s="221">
        <v>1683906</v>
      </c>
      <c r="K32" s="198">
        <f>+K27+K29</f>
        <v>38172314</v>
      </c>
      <c r="L32" s="199"/>
      <c r="M32" s="370">
        <v>-3648841</v>
      </c>
      <c r="N32" s="183">
        <f>+N27+N29</f>
        <v>34523473</v>
      </c>
      <c r="O32" s="184"/>
      <c r="P32" s="196">
        <f>P27+P29</f>
        <v>1</v>
      </c>
      <c r="Q32" s="218">
        <f>(N24/'Data Inputs - 2012'!N15)*('Data Inputs - 2012'!N15-'AA Calculation'!T24)</f>
        <v>3361399.2648933316</v>
      </c>
      <c r="R32" s="217">
        <f>R27+R29</f>
        <v>34523473</v>
      </c>
      <c r="T32" s="185">
        <f>+T27+T29</f>
        <v>9944990650.295</v>
      </c>
      <c r="U32" s="186">
        <f>+ROUND(R32/T32*100,3)</f>
        <v>0.347</v>
      </c>
      <c r="V32" s="192"/>
      <c r="Y32" s="212"/>
      <c r="Z32" s="227"/>
    </row>
    <row r="33" spans="1:22" ht="12.75">
      <c r="A33" s="1">
        <f>ROW()</f>
        <v>33</v>
      </c>
      <c r="B33" s="160"/>
      <c r="C33" s="149"/>
      <c r="D33" s="193"/>
      <c r="E33" s="194"/>
      <c r="F33" s="176"/>
      <c r="G33" s="177"/>
      <c r="H33" s="178"/>
      <c r="I33" s="177"/>
      <c r="J33" s="196"/>
      <c r="K33" s="178"/>
      <c r="L33" s="177"/>
      <c r="M33" s="196"/>
      <c r="N33" s="178"/>
      <c r="O33" s="177"/>
      <c r="P33" s="196"/>
      <c r="Q33" s="177"/>
      <c r="R33" s="150"/>
      <c r="T33" s="185"/>
      <c r="U33" s="150"/>
      <c r="V33" s="192"/>
    </row>
    <row r="34" spans="1:22" ht="12.75">
      <c r="A34" s="1">
        <f>ROW()</f>
        <v>34</v>
      </c>
      <c r="B34" s="160"/>
      <c r="C34" s="149"/>
      <c r="D34" s="179"/>
      <c r="E34" s="181"/>
      <c r="F34" s="176"/>
      <c r="G34" s="177"/>
      <c r="H34" s="178"/>
      <c r="I34" s="177"/>
      <c r="J34" s="196"/>
      <c r="K34" s="178"/>
      <c r="L34" s="177"/>
      <c r="M34" s="196"/>
      <c r="N34" s="178"/>
      <c r="O34" s="177"/>
      <c r="P34" s="196"/>
      <c r="Q34" s="177"/>
      <c r="R34" s="150"/>
      <c r="T34" s="185"/>
      <c r="U34" s="150"/>
      <c r="V34" s="192"/>
    </row>
    <row r="35" spans="1:22" ht="14.25">
      <c r="A35" s="1">
        <f>ROW()</f>
        <v>35</v>
      </c>
      <c r="B35" s="174" t="s">
        <v>29</v>
      </c>
      <c r="C35" s="149"/>
      <c r="D35" s="200">
        <f>+D32</f>
        <v>540595235.055597</v>
      </c>
      <c r="E35" s="36">
        <f>+E32</f>
        <v>504106826.5963086</v>
      </c>
      <c r="F35" s="176">
        <f>+F30+F32</f>
        <v>36488408</v>
      </c>
      <c r="G35" s="177">
        <f>+IF(OR(E35=0,D35="NA",E35="NA"),"NA",F35/E35)</f>
        <v>0.07238229294843514</v>
      </c>
      <c r="H35" s="178"/>
      <c r="I35" s="177"/>
      <c r="J35" s="196"/>
      <c r="K35" s="178"/>
      <c r="L35" s="177"/>
      <c r="M35" s="196"/>
      <c r="N35" s="178"/>
      <c r="O35" s="177"/>
      <c r="P35" s="196"/>
      <c r="Q35" s="177"/>
      <c r="R35" s="150"/>
      <c r="T35" s="185"/>
      <c r="U35" s="150"/>
      <c r="V35" s="192"/>
    </row>
    <row r="36" spans="1:22" ht="12.75">
      <c r="A36" s="1">
        <f>ROW()</f>
        <v>36</v>
      </c>
      <c r="B36" s="174"/>
      <c r="C36" s="149"/>
      <c r="D36" s="152"/>
      <c r="E36" s="201"/>
      <c r="F36" s="202"/>
      <c r="G36" s="203"/>
      <c r="H36" s="204"/>
      <c r="I36" s="144"/>
      <c r="J36" s="205"/>
      <c r="K36" s="204"/>
      <c r="L36" s="144"/>
      <c r="M36" s="205"/>
      <c r="N36" s="204"/>
      <c r="O36" s="144"/>
      <c r="P36" s="205"/>
      <c r="Q36" s="203"/>
      <c r="R36" s="207"/>
      <c r="T36" s="206"/>
      <c r="U36" s="207"/>
      <c r="V36" s="147"/>
    </row>
    <row r="37" spans="1:22" ht="13.5" thickBot="1">
      <c r="A37" s="1">
        <f>ROW()</f>
        <v>37</v>
      </c>
      <c r="B37" s="208"/>
      <c r="C37" s="153"/>
      <c r="D37" s="153"/>
      <c r="E37" s="153"/>
      <c r="F37" s="153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153"/>
      <c r="S37" s="153"/>
      <c r="T37" s="153"/>
      <c r="U37" s="153"/>
      <c r="V37" s="154"/>
    </row>
    <row r="38" spans="1:6" ht="13.5" thickTop="1">
      <c r="A38" s="1">
        <f>ROW()</f>
        <v>38</v>
      </c>
      <c r="B38" s="149"/>
      <c r="E38" s="149"/>
      <c r="F38" s="212"/>
    </row>
    <row r="39" spans="1:6" ht="12.75">
      <c r="A39" s="1"/>
      <c r="B39" s="143" t="s">
        <v>330</v>
      </c>
      <c r="E39" s="149"/>
      <c r="F39" s="212"/>
    </row>
    <row r="40" spans="1:18" ht="12.75">
      <c r="A40" s="1">
        <f>ROW()</f>
        <v>40</v>
      </c>
      <c r="B40" s="224" t="s">
        <v>329</v>
      </c>
      <c r="D40" s="210"/>
      <c r="E40" s="211"/>
      <c r="F40" s="212"/>
      <c r="M40" s="212"/>
      <c r="R40" s="212"/>
    </row>
    <row r="41" spans="5:18" ht="12.75">
      <c r="E41" s="213"/>
      <c r="N41" s="225"/>
      <c r="R41" s="212"/>
    </row>
    <row r="42" spans="2:18" s="235" customFormat="1" ht="12.75">
      <c r="B42" s="236"/>
      <c r="C42" s="236"/>
      <c r="D42" s="237"/>
      <c r="E42" s="237"/>
      <c r="F42" s="238"/>
      <c r="G42" s="236"/>
      <c r="H42" s="236"/>
      <c r="I42" s="236"/>
      <c r="J42" s="236"/>
      <c r="K42" s="236"/>
      <c r="L42" s="236"/>
      <c r="M42" s="238"/>
      <c r="N42" s="239"/>
      <c r="R42" s="239"/>
    </row>
    <row r="43" spans="2:10" s="235" customFormat="1" ht="12.75">
      <c r="B43" s="236"/>
      <c r="J43" s="240"/>
    </row>
    <row r="44" spans="8:13" s="235" customFormat="1" ht="12.75">
      <c r="H44" s="241"/>
      <c r="J44" s="240"/>
      <c r="M44" s="240"/>
    </row>
    <row r="45" s="235" customFormat="1" ht="12.75">
      <c r="J45" s="242"/>
    </row>
    <row r="46" spans="4:10" s="235" customFormat="1" ht="12.75">
      <c r="D46" s="232"/>
      <c r="F46" s="243"/>
      <c r="J46" s="242"/>
    </row>
    <row r="47" spans="4:13" s="235" customFormat="1" ht="12.75">
      <c r="D47" s="232"/>
      <c r="F47" s="233"/>
      <c r="J47" s="244"/>
      <c r="M47" s="244"/>
    </row>
    <row r="48" s="235" customFormat="1" ht="12.75">
      <c r="F48" s="243"/>
    </row>
  </sheetData>
  <sheetProtection/>
  <mergeCells count="7">
    <mergeCell ref="D10:H10"/>
    <mergeCell ref="J10:K10"/>
    <mergeCell ref="M10:N10"/>
    <mergeCell ref="P10:R10"/>
    <mergeCell ref="T10:U10"/>
    <mergeCell ref="B2:U2"/>
    <mergeCell ref="B3:U3"/>
  </mergeCells>
  <conditionalFormatting sqref="G16:G36 T13:U15">
    <cfRule type="cellIs" priority="5" dxfId="0" operator="lessThan" stopIfTrue="1">
      <formula>0</formula>
    </cfRule>
  </conditionalFormatting>
  <conditionalFormatting sqref="U16:U27 T27:U34">
    <cfRule type="cellIs" priority="3" dxfId="0" operator="lessThan" stopIfTrue="1">
      <formula>0</formula>
    </cfRule>
  </conditionalFormatting>
  <conditionalFormatting sqref="T18:T26 T16">
    <cfRule type="cellIs" priority="1" dxfId="0" operator="lessThan" stopIfTrue="1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17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F112"/>
  <sheetViews>
    <sheetView tabSelected="1" view="pageBreakPreview" zoomScale="60" zoomScalePageLayoutView="0" workbookViewId="0" topLeftCell="A1">
      <pane xSplit="2" ySplit="14" topLeftCell="L18" activePane="bottomRight" state="frozen"/>
      <selection pane="topLeft" activeCell="B45" sqref="B45"/>
      <selection pane="topRight" activeCell="B45" sqref="B45"/>
      <selection pane="bottomLeft" activeCell="B45" sqref="B45"/>
      <selection pane="bottomRight" activeCell="T12" sqref="T12:T14"/>
    </sheetView>
  </sheetViews>
  <sheetFormatPr defaultColWidth="47.28125" defaultRowHeight="12.75"/>
  <cols>
    <col min="1" max="1" width="6.8515625" style="1" bestFit="1" customWidth="1"/>
    <col min="2" max="2" width="59.00390625" style="0" customWidth="1"/>
    <col min="3" max="3" width="13.8515625" style="0" customWidth="1"/>
    <col min="4" max="4" width="15.140625" style="0" customWidth="1"/>
    <col min="5" max="5" width="17.00390625" style="0" customWidth="1"/>
    <col min="6" max="6" width="19.421875" style="0" customWidth="1"/>
    <col min="7" max="7" width="15.421875" style="0" customWidth="1"/>
    <col min="8" max="8" width="18.00390625" style="0" customWidth="1"/>
    <col min="9" max="9" width="21.140625" style="0" customWidth="1"/>
    <col min="10" max="10" width="15.57421875" style="0" customWidth="1"/>
    <col min="11" max="11" width="15.421875" style="0" customWidth="1"/>
    <col min="12" max="12" width="14.8515625" style="0" customWidth="1"/>
    <col min="13" max="13" width="16.28125" style="0" customWidth="1"/>
    <col min="14" max="14" width="14.8515625" style="0" customWidth="1"/>
    <col min="15" max="15" width="15.140625" style="0" customWidth="1"/>
    <col min="16" max="16" width="16.57421875" style="0" customWidth="1"/>
    <col min="17" max="17" width="16.7109375" style="0" customWidth="1"/>
    <col min="18" max="18" width="14.140625" style="0" customWidth="1"/>
    <col min="19" max="19" width="14.421875" style="0" customWidth="1"/>
    <col min="20" max="20" width="21.8515625" style="0" customWidth="1"/>
    <col min="21" max="21" width="19.140625" style="0" customWidth="1"/>
    <col min="22" max="22" width="22.57421875" style="0" customWidth="1"/>
    <col min="23" max="23" width="19.8515625" style="0" customWidth="1"/>
    <col min="24" max="24" width="19.7109375" style="0" customWidth="1"/>
    <col min="25" max="25" width="16.57421875" style="0" customWidth="1"/>
    <col min="26" max="26" width="15.8515625" style="0" customWidth="1"/>
    <col min="27" max="27" width="20.8515625" style="0" customWidth="1"/>
    <col min="28" max="28" width="16.57421875" style="0" customWidth="1"/>
    <col min="29" max="30" width="47.28125" style="0" customWidth="1"/>
    <col min="31" max="31" width="47.28125" style="45" customWidth="1"/>
  </cols>
  <sheetData>
    <row r="1" spans="1:30" ht="12.75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45" customHeight="1">
      <c r="A2" s="40" t="s">
        <v>21</v>
      </c>
      <c r="B2" s="41"/>
      <c r="C2" s="393" t="s">
        <v>198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3"/>
      <c r="AD2" s="33"/>
    </row>
    <row r="3" spans="1:30" ht="12.75">
      <c r="A3" s="39">
        <v>1</v>
      </c>
      <c r="B3" s="33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3"/>
      <c r="AD3" s="33"/>
    </row>
    <row r="4" spans="1:30" ht="20.25">
      <c r="A4" s="39">
        <f aca="true" t="shared" si="0" ref="A4:A9">+A3+1</f>
        <v>2</v>
      </c>
      <c r="B4" s="33"/>
      <c r="C4" s="395" t="s">
        <v>192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3"/>
      <c r="AD4" s="33"/>
    </row>
    <row r="5" spans="1:30" ht="12.75">
      <c r="A5" s="39">
        <f t="shared" si="0"/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15.75">
      <c r="A6" s="39">
        <f t="shared" si="0"/>
        <v>4</v>
      </c>
      <c r="B6" s="43" t="s">
        <v>0</v>
      </c>
      <c r="C6" s="95" t="s">
        <v>1</v>
      </c>
      <c r="D6" s="95" t="s">
        <v>2</v>
      </c>
      <c r="E6" s="95" t="s">
        <v>3</v>
      </c>
      <c r="F6" s="95" t="s">
        <v>4</v>
      </c>
      <c r="G6" s="95" t="s">
        <v>5</v>
      </c>
      <c r="H6" s="95" t="s">
        <v>19</v>
      </c>
      <c r="I6" s="95" t="s">
        <v>18</v>
      </c>
      <c r="J6" s="95" t="s">
        <v>20</v>
      </c>
      <c r="K6" s="95" t="s">
        <v>22</v>
      </c>
      <c r="L6" s="95" t="s">
        <v>24</v>
      </c>
      <c r="M6" s="95" t="s">
        <v>25</v>
      </c>
      <c r="N6" s="95" t="s">
        <v>64</v>
      </c>
      <c r="O6" s="95" t="s">
        <v>32</v>
      </c>
      <c r="P6" s="95" t="s">
        <v>37</v>
      </c>
      <c r="Q6" s="95" t="s">
        <v>113</v>
      </c>
      <c r="R6" s="95" t="s">
        <v>65</v>
      </c>
      <c r="S6" s="95" t="s">
        <v>66</v>
      </c>
      <c r="T6" s="95" t="s">
        <v>67</v>
      </c>
      <c r="U6" s="95" t="s">
        <v>111</v>
      </c>
      <c r="V6" s="95" t="s">
        <v>112</v>
      </c>
      <c r="W6" s="95" t="s">
        <v>114</v>
      </c>
      <c r="X6" s="95" t="s">
        <v>116</v>
      </c>
      <c r="Y6" s="95" t="s">
        <v>117</v>
      </c>
      <c r="Z6" s="95" t="s">
        <v>115</v>
      </c>
      <c r="AA6" s="95" t="s">
        <v>148</v>
      </c>
      <c r="AB6" s="95" t="s">
        <v>149</v>
      </c>
      <c r="AC6" s="33"/>
      <c r="AD6" s="33"/>
    </row>
    <row r="7" spans="1:30" ht="12.75">
      <c r="A7" s="39">
        <f t="shared" si="0"/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27" customHeight="1">
      <c r="A8" s="39">
        <f t="shared" si="0"/>
        <v>6</v>
      </c>
      <c r="B8" s="43" t="s">
        <v>6</v>
      </c>
      <c r="C8" s="43"/>
      <c r="D8" s="43"/>
      <c r="E8" s="43"/>
      <c r="F8" s="43"/>
      <c r="G8" s="43"/>
      <c r="H8" s="43"/>
      <c r="I8" s="43"/>
      <c r="J8" s="44" t="s">
        <v>118</v>
      </c>
      <c r="K8" s="44" t="s">
        <v>119</v>
      </c>
      <c r="L8" s="44" t="s">
        <v>150</v>
      </c>
      <c r="M8" s="43" t="s">
        <v>120</v>
      </c>
      <c r="N8" s="43" t="s">
        <v>121</v>
      </c>
      <c r="O8" s="44" t="s">
        <v>122</v>
      </c>
      <c r="P8" s="44" t="s">
        <v>123</v>
      </c>
      <c r="Q8" s="44" t="s">
        <v>124</v>
      </c>
      <c r="R8" s="43" t="s">
        <v>125</v>
      </c>
      <c r="S8" s="43" t="s">
        <v>126</v>
      </c>
      <c r="T8" s="43" t="s">
        <v>127</v>
      </c>
      <c r="U8" s="44" t="s">
        <v>128</v>
      </c>
      <c r="V8" s="44" t="s">
        <v>151</v>
      </c>
      <c r="W8" s="44" t="s">
        <v>152</v>
      </c>
      <c r="X8" s="43" t="s">
        <v>153</v>
      </c>
      <c r="Y8" s="43" t="s">
        <v>154</v>
      </c>
      <c r="Z8" s="44" t="str">
        <f>"Y / Y (line "&amp;A30&amp;")"</f>
        <v>Y / Y (line 30)</v>
      </c>
      <c r="AA8" s="44" t="str">
        <f>"Z x X (line "&amp;A30&amp;")"</f>
        <v>Z x X (line 30)</v>
      </c>
      <c r="AB8" s="43" t="s">
        <v>155</v>
      </c>
      <c r="AC8" s="33"/>
      <c r="AD8" s="33"/>
    </row>
    <row r="9" spans="1:30" ht="6" customHeight="1">
      <c r="A9" s="39">
        <f t="shared" si="0"/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33"/>
      <c r="AD9" s="33"/>
    </row>
    <row r="10" spans="1:30" ht="13.5" thickBot="1">
      <c r="A10" s="39">
        <f>ROW()</f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ht="54" customHeight="1" thickTop="1">
      <c r="A11" s="39">
        <f>ROW()</f>
        <v>11</v>
      </c>
      <c r="B11" s="421"/>
      <c r="C11" s="422" t="s">
        <v>43</v>
      </c>
      <c r="D11" s="423"/>
      <c r="E11" s="423"/>
      <c r="F11" s="423"/>
      <c r="G11" s="423"/>
      <c r="H11" s="424"/>
      <c r="I11" s="425" t="s">
        <v>35</v>
      </c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7"/>
      <c r="Y11" s="428" t="s">
        <v>33</v>
      </c>
      <c r="Z11" s="429"/>
      <c r="AA11" s="429"/>
      <c r="AB11" s="430"/>
      <c r="AC11" s="52"/>
      <c r="AD11" s="45"/>
    </row>
    <row r="12" spans="1:30" ht="30" customHeight="1">
      <c r="A12" s="39">
        <f>ROW()</f>
        <v>12</v>
      </c>
      <c r="B12" s="46"/>
      <c r="C12" s="402" t="s">
        <v>194</v>
      </c>
      <c r="D12" s="397" t="s">
        <v>197</v>
      </c>
      <c r="E12" s="400"/>
      <c r="F12" s="397" t="s">
        <v>195</v>
      </c>
      <c r="G12" s="400"/>
      <c r="H12" s="402" t="s">
        <v>196</v>
      </c>
      <c r="I12" s="397" t="s">
        <v>42</v>
      </c>
      <c r="J12" s="408" t="s">
        <v>102</v>
      </c>
      <c r="K12" s="399"/>
      <c r="L12" s="399"/>
      <c r="M12" s="399"/>
      <c r="N12" s="409"/>
      <c r="O12" s="408" t="s">
        <v>103</v>
      </c>
      <c r="P12" s="399"/>
      <c r="Q12" s="399"/>
      <c r="R12" s="399"/>
      <c r="S12" s="409"/>
      <c r="T12" s="417" t="s">
        <v>146</v>
      </c>
      <c r="U12" s="417" t="s">
        <v>27</v>
      </c>
      <c r="V12" s="31"/>
      <c r="W12" s="31"/>
      <c r="X12" s="400" t="s">
        <v>147</v>
      </c>
      <c r="Y12" s="414" t="s">
        <v>34</v>
      </c>
      <c r="Z12" s="410" t="s">
        <v>23</v>
      </c>
      <c r="AA12" s="410" t="s">
        <v>36</v>
      </c>
      <c r="AB12" s="431" t="s">
        <v>8</v>
      </c>
      <c r="AC12" s="52"/>
      <c r="AD12" s="45"/>
    </row>
    <row r="13" spans="1:30" ht="18" customHeight="1">
      <c r="A13" s="39">
        <f>ROW()</f>
        <v>13</v>
      </c>
      <c r="B13" s="46"/>
      <c r="C13" s="404"/>
      <c r="D13" s="402" t="s">
        <v>71</v>
      </c>
      <c r="E13" s="402" t="s">
        <v>72</v>
      </c>
      <c r="F13" s="402" t="s">
        <v>73</v>
      </c>
      <c r="G13" s="402" t="s">
        <v>72</v>
      </c>
      <c r="H13" s="404"/>
      <c r="I13" s="406"/>
      <c r="J13" s="397" t="s">
        <v>40</v>
      </c>
      <c r="K13" s="399" t="s">
        <v>68</v>
      </c>
      <c r="L13" s="399"/>
      <c r="M13" s="399"/>
      <c r="N13" s="400" t="s">
        <v>41</v>
      </c>
      <c r="O13" s="397" t="s">
        <v>40</v>
      </c>
      <c r="P13" s="399" t="s">
        <v>68</v>
      </c>
      <c r="Q13" s="399"/>
      <c r="R13" s="399"/>
      <c r="S13" s="400" t="s">
        <v>41</v>
      </c>
      <c r="T13" s="418"/>
      <c r="U13" s="418"/>
      <c r="V13" s="32"/>
      <c r="W13" s="32"/>
      <c r="X13" s="413"/>
      <c r="Y13" s="415"/>
      <c r="Z13" s="411"/>
      <c r="AA13" s="411"/>
      <c r="AB13" s="432"/>
      <c r="AC13" s="52"/>
      <c r="AD13" s="45"/>
    </row>
    <row r="14" spans="1:30" ht="49.5" customHeight="1">
      <c r="A14" s="39">
        <f>ROW()</f>
        <v>14</v>
      </c>
      <c r="B14" s="47" t="s">
        <v>7</v>
      </c>
      <c r="C14" s="405"/>
      <c r="D14" s="403"/>
      <c r="E14" s="403" t="s">
        <v>72</v>
      </c>
      <c r="F14" s="403"/>
      <c r="G14" s="403" t="s">
        <v>72</v>
      </c>
      <c r="H14" s="405"/>
      <c r="I14" s="407"/>
      <c r="J14" s="398"/>
      <c r="K14" s="25" t="s">
        <v>69</v>
      </c>
      <c r="L14" s="26" t="s">
        <v>70</v>
      </c>
      <c r="M14" s="27" t="s">
        <v>44</v>
      </c>
      <c r="N14" s="401"/>
      <c r="O14" s="398"/>
      <c r="P14" s="25" t="s">
        <v>69</v>
      </c>
      <c r="Q14" s="26" t="s">
        <v>70</v>
      </c>
      <c r="R14" s="27" t="s">
        <v>44</v>
      </c>
      <c r="S14" s="401"/>
      <c r="T14" s="419"/>
      <c r="U14" s="419"/>
      <c r="V14" s="48" t="s">
        <v>145</v>
      </c>
      <c r="W14" s="48" t="s">
        <v>308</v>
      </c>
      <c r="X14" s="401"/>
      <c r="Y14" s="416"/>
      <c r="Z14" s="412"/>
      <c r="AA14" s="412"/>
      <c r="AB14" s="433"/>
      <c r="AC14" s="52"/>
      <c r="AD14" s="45"/>
    </row>
    <row r="15" spans="1:30" ht="12.75" customHeight="1">
      <c r="A15" s="39">
        <f>ROW()</f>
        <v>15</v>
      </c>
      <c r="B15" s="49"/>
      <c r="C15" s="50"/>
      <c r="D15" s="50"/>
      <c r="E15" s="50"/>
      <c r="F15" s="50"/>
      <c r="G15" s="50"/>
      <c r="H15" s="14"/>
      <c r="I15" s="2"/>
      <c r="J15" s="2"/>
      <c r="K15" s="2"/>
      <c r="L15" s="4"/>
      <c r="M15" s="3"/>
      <c r="N15" s="3"/>
      <c r="O15" s="2"/>
      <c r="P15" s="2"/>
      <c r="Q15" s="4"/>
      <c r="R15" s="3"/>
      <c r="S15" s="3"/>
      <c r="T15" s="4"/>
      <c r="U15" s="4"/>
      <c r="V15" s="4"/>
      <c r="W15" s="4"/>
      <c r="X15" s="3"/>
      <c r="Y15" s="4"/>
      <c r="Z15" s="4"/>
      <c r="AA15" s="4"/>
      <c r="AB15" s="434"/>
      <c r="AC15" s="52"/>
      <c r="AD15" s="45"/>
    </row>
    <row r="16" spans="1:30" ht="12.75">
      <c r="A16" s="39">
        <f>ROW()</f>
        <v>16</v>
      </c>
      <c r="B16" s="51" t="s">
        <v>156</v>
      </c>
      <c r="C16" s="50"/>
      <c r="D16" s="126"/>
      <c r="E16" s="126"/>
      <c r="F16" s="127"/>
      <c r="G16" s="127"/>
      <c r="H16" s="128"/>
      <c r="I16" s="2"/>
      <c r="J16" s="2"/>
      <c r="K16" s="2"/>
      <c r="L16" s="4"/>
      <c r="M16" s="3"/>
      <c r="N16" s="3"/>
      <c r="O16" s="2"/>
      <c r="P16" s="2"/>
      <c r="Q16" s="4"/>
      <c r="R16" s="3"/>
      <c r="S16" s="3"/>
      <c r="T16" s="4"/>
      <c r="U16" s="4"/>
      <c r="V16" s="4"/>
      <c r="W16" s="4"/>
      <c r="X16" s="3"/>
      <c r="Y16" s="4"/>
      <c r="Z16" s="4"/>
      <c r="AA16" s="4"/>
      <c r="AB16" s="434"/>
      <c r="AC16" s="52"/>
      <c r="AD16" s="45"/>
    </row>
    <row r="17" spans="1:30" ht="12.75">
      <c r="A17" s="39">
        <f>ROW()</f>
        <v>17</v>
      </c>
      <c r="B17" s="52" t="s">
        <v>9</v>
      </c>
      <c r="C17" s="53"/>
      <c r="D17" s="30"/>
      <c r="E17" s="30"/>
      <c r="F17" s="98"/>
      <c r="G17" s="98"/>
      <c r="H17" s="98">
        <f>+'Monthly Energy Allocators'!N5</f>
        <v>4117431708.9870834</v>
      </c>
      <c r="I17" s="55"/>
      <c r="J17" s="55"/>
      <c r="K17" s="55"/>
      <c r="L17" s="56"/>
      <c r="M17" s="57"/>
      <c r="N17" s="57"/>
      <c r="O17" s="55"/>
      <c r="P17" s="55"/>
      <c r="Q17" s="56"/>
      <c r="R17" s="57"/>
      <c r="S17" s="57"/>
      <c r="T17" s="56"/>
      <c r="U17" s="56"/>
      <c r="V17" s="56"/>
      <c r="W17" s="56"/>
      <c r="X17" s="57"/>
      <c r="Y17" s="56"/>
      <c r="Z17" s="56"/>
      <c r="AA17" s="56"/>
      <c r="AB17" s="435"/>
      <c r="AC17" s="52"/>
      <c r="AD17" s="45"/>
    </row>
    <row r="18" spans="1:30" ht="15">
      <c r="A18" s="39">
        <f>ROW()</f>
        <v>18</v>
      </c>
      <c r="B18" s="52" t="s">
        <v>10</v>
      </c>
      <c r="C18" s="53"/>
      <c r="D18" s="30"/>
      <c r="E18" s="30"/>
      <c r="F18" s="129"/>
      <c r="G18" s="129"/>
      <c r="H18" s="129">
        <f>+'Monthly Energy Allocators'!N6</f>
        <v>194315333.00049773</v>
      </c>
      <c r="I18" s="5"/>
      <c r="J18" s="5"/>
      <c r="K18" s="5"/>
      <c r="L18" s="6"/>
      <c r="M18" s="7"/>
      <c r="N18" s="7"/>
      <c r="O18" s="5"/>
      <c r="P18" s="5"/>
      <c r="Q18" s="6"/>
      <c r="R18" s="7"/>
      <c r="S18" s="7"/>
      <c r="T18" s="6"/>
      <c r="U18" s="6"/>
      <c r="V18" s="6"/>
      <c r="W18" s="6"/>
      <c r="X18" s="7"/>
      <c r="Y18" s="6"/>
      <c r="Z18" s="6"/>
      <c r="AA18" s="6"/>
      <c r="AB18" s="436"/>
      <c r="AC18" s="52"/>
      <c r="AD18" s="45"/>
    </row>
    <row r="19" spans="1:32" ht="15">
      <c r="A19" s="39">
        <f>ROW()</f>
        <v>19</v>
      </c>
      <c r="B19" s="52" t="s">
        <v>162</v>
      </c>
      <c r="C19" s="68">
        <v>0.9890507030161523</v>
      </c>
      <c r="D19" s="99">
        <f>+'3CP &amp; Rate Base'!O4+'3CP &amp; Rate Base'!O5</f>
        <v>3361452.2330940217</v>
      </c>
      <c r="E19" s="130">
        <f>+D19/D$30</f>
        <v>0.5156095439531458</v>
      </c>
      <c r="F19" s="98">
        <f>+'Monthly Energy Allocators'!N99</f>
        <v>4710455776.835774</v>
      </c>
      <c r="G19" s="130">
        <f>+F19/F$30</f>
        <v>0.4073764038805774</v>
      </c>
      <c r="H19" s="98">
        <f>+H17+H18</f>
        <v>4311747041.987581</v>
      </c>
      <c r="I19" s="8">
        <f>+'Monthly Fuel Cost Allocation'!N73</f>
        <v>178680600.65288854</v>
      </c>
      <c r="J19" s="8">
        <f>+J$30*$G19</f>
        <v>12163703.514033306</v>
      </c>
      <c r="K19" s="8">
        <f>+$G19*K$30</f>
        <v>6619482.953219307</v>
      </c>
      <c r="L19" s="9">
        <f>+$E19*L$30</f>
        <v>4218064.660716456</v>
      </c>
      <c r="M19" s="10">
        <f>+K19+L19</f>
        <v>10837547.613935763</v>
      </c>
      <c r="N19" s="10">
        <f>+J19+K19+L19</f>
        <v>23001251.127969068</v>
      </c>
      <c r="O19" s="8">
        <f>+O$30*$G19</f>
        <v>13256034.151967809</v>
      </c>
      <c r="P19" s="8">
        <f>+$G19*P$30</f>
        <v>3976810.245590343</v>
      </c>
      <c r="Q19" s="9">
        <f>+$E19*Q$30</f>
        <v>2157163.98633998</v>
      </c>
      <c r="R19" s="10">
        <f>+P19+Q19</f>
        <v>6133974.231930323</v>
      </c>
      <c r="S19" s="10">
        <f>+O19+P19+Q19</f>
        <v>19390008.38389813</v>
      </c>
      <c r="T19" s="9">
        <f>+I19+N19+S19</f>
        <v>221071860.16475573</v>
      </c>
      <c r="U19" s="123">
        <f>+G19*U$30</f>
        <v>-648423.4663151383</v>
      </c>
      <c r="V19" s="123">
        <f>+G19*V$30</f>
        <v>-896228.0885372689</v>
      </c>
      <c r="W19" s="9">
        <f>+G19*W$30</f>
        <v>2097190.071749289</v>
      </c>
      <c r="X19" s="10">
        <f>+T19+U19+V19+W19</f>
        <v>221624398.6816526</v>
      </c>
      <c r="Y19" s="9">
        <f>+X19*C19</f>
        <v>219197767.32162052</v>
      </c>
      <c r="Z19" s="15">
        <f>+Y19/Y$30</f>
        <v>0.4058976683693197</v>
      </c>
      <c r="AA19" s="9">
        <f>+Z19*X$30</f>
        <v>219426345.44063106</v>
      </c>
      <c r="AB19" s="437">
        <f>+AA19/H19*100</f>
        <v>5.089035680986571</v>
      </c>
      <c r="AC19" s="52"/>
      <c r="AD19" s="45"/>
      <c r="AE19" s="226"/>
      <c r="AF19" s="226"/>
    </row>
    <row r="20" spans="1:32" ht="15">
      <c r="A20" s="39">
        <f>ROW()</f>
        <v>20</v>
      </c>
      <c r="B20" s="52"/>
      <c r="C20" s="68"/>
      <c r="D20" s="99"/>
      <c r="E20" s="99"/>
      <c r="F20" s="98"/>
      <c r="G20" s="99"/>
      <c r="H20" s="98"/>
      <c r="I20" s="8"/>
      <c r="J20" s="8"/>
      <c r="K20" s="8"/>
      <c r="L20" s="9"/>
      <c r="M20" s="10"/>
      <c r="N20" s="10"/>
      <c r="O20" s="8"/>
      <c r="P20" s="8"/>
      <c r="Q20" s="9"/>
      <c r="R20" s="10"/>
      <c r="S20" s="10"/>
      <c r="T20" s="9"/>
      <c r="U20" s="123"/>
      <c r="V20" s="123"/>
      <c r="W20" s="9"/>
      <c r="X20" s="10"/>
      <c r="Y20" s="9"/>
      <c r="Z20" s="9"/>
      <c r="AA20" s="9"/>
      <c r="AB20" s="437"/>
      <c r="AC20" s="52"/>
      <c r="AD20" s="45"/>
      <c r="AE20" s="226"/>
      <c r="AF20" s="226"/>
    </row>
    <row r="21" spans="1:32" ht="15">
      <c r="A21" s="39">
        <f>ROW()</f>
        <v>21</v>
      </c>
      <c r="B21" s="52" t="s">
        <v>11</v>
      </c>
      <c r="C21" s="68">
        <v>1.0231849611395256</v>
      </c>
      <c r="D21" s="99">
        <f>+'3CP &amp; Rate Base'!O6</f>
        <v>161273.54452226893</v>
      </c>
      <c r="E21" s="130">
        <f aca="true" t="shared" si="1" ref="E21:G29">+D21/D$30</f>
        <v>0.024737575600262462</v>
      </c>
      <c r="F21" s="98">
        <f>+'Monthly Energy Allocators'!N100</f>
        <v>261238618.7922108</v>
      </c>
      <c r="G21" s="130">
        <f t="shared" si="1"/>
        <v>0.02259281354505967</v>
      </c>
      <c r="H21" s="98">
        <f>+'Monthly Energy Allocators'!N8</f>
        <v>240604998.1603973</v>
      </c>
      <c r="I21" s="8">
        <f>+'Monthly Fuel Cost Allocation'!N74</f>
        <v>9899379.143242374</v>
      </c>
      <c r="J21" s="8">
        <f aca="true" t="shared" si="2" ref="J21:J29">+J$30*$G21</f>
        <v>674590.5823021182</v>
      </c>
      <c r="K21" s="8">
        <f aca="true" t="shared" si="3" ref="K21:K29">+$G21*K$30</f>
        <v>367111.945370862</v>
      </c>
      <c r="L21" s="9">
        <f aca="true" t="shared" si="4" ref="L21:L29">+$E21*L$30</f>
        <v>202371.5322087807</v>
      </c>
      <c r="M21" s="10">
        <f aca="true" t="shared" si="5" ref="M21:M29">+K21+L21</f>
        <v>569483.4775796428</v>
      </c>
      <c r="N21" s="10">
        <f aca="true" t="shared" si="6" ref="N21:N29">+J21+K21+L21</f>
        <v>1244074.059881761</v>
      </c>
      <c r="O21" s="8">
        <f aca="true" t="shared" si="7" ref="O21:O29">+O$30*$G21</f>
        <v>735170.4838313313</v>
      </c>
      <c r="P21" s="8">
        <f aca="true" t="shared" si="8" ref="P21:P29">+$G21*P$30</f>
        <v>220551.1451493994</v>
      </c>
      <c r="Q21" s="9">
        <f aca="true" t="shared" si="9" ref="Q21:Q29">+$E21*Q$30</f>
        <v>103494.995040468</v>
      </c>
      <c r="R21" s="10">
        <f aca="true" t="shared" si="10" ref="R21:R29">+P21+Q21</f>
        <v>324046.1401898674</v>
      </c>
      <c r="S21" s="10">
        <f aca="true" t="shared" si="11" ref="S21:S29">+O21+P21+Q21</f>
        <v>1059216.6240211986</v>
      </c>
      <c r="T21" s="9">
        <f aca="true" t="shared" si="12" ref="T21:T29">+I21+N21+S21</f>
        <v>12202669.827145334</v>
      </c>
      <c r="U21" s="123">
        <f aca="true" t="shared" si="13" ref="U21:U29">+G21*U$30</f>
        <v>-35961.11687655275</v>
      </c>
      <c r="V21" s="123">
        <f aca="true" t="shared" si="14" ref="V21:V29">+G21*V$30</f>
        <v>-49704.1897991312</v>
      </c>
      <c r="W21" s="9">
        <f aca="true" t="shared" si="15" ref="W21:W29">+G21*W$30</f>
        <v>116308.71058862773</v>
      </c>
      <c r="X21" s="10">
        <f aca="true" t="shared" si="16" ref="X21:X29">+T21+U21+V21+W21</f>
        <v>12233313.231058279</v>
      </c>
      <c r="Y21" s="9">
        <f aca="true" t="shared" si="17" ref="Y21:Y29">+X21*C21</f>
        <v>12516942.12292801</v>
      </c>
      <c r="Z21" s="15">
        <f aca="true" t="shared" si="18" ref="Z21:Z29">+Y21/Y$30</f>
        <v>0.02317814494595483</v>
      </c>
      <c r="AA21" s="9">
        <f aca="true" t="shared" si="19" ref="AA21:AA29">+Z21*X$30</f>
        <v>12529994.715211146</v>
      </c>
      <c r="AB21" s="437">
        <f aca="true" t="shared" si="20" ref="AB21:AB30">+AA21/H21*100</f>
        <v>5.20770341888664</v>
      </c>
      <c r="AC21" s="52"/>
      <c r="AD21" s="45"/>
      <c r="AE21" s="226"/>
      <c r="AF21" s="226"/>
    </row>
    <row r="22" spans="1:32" ht="15">
      <c r="A22" s="39">
        <f>ROW()</f>
        <v>22</v>
      </c>
      <c r="B22" s="52" t="s">
        <v>12</v>
      </c>
      <c r="C22" s="68">
        <v>1.0716964160107805</v>
      </c>
      <c r="D22" s="99">
        <f>+'3CP &amp; Rate Base'!O7</f>
        <v>1320065.7071633604</v>
      </c>
      <c r="E22" s="130">
        <f t="shared" si="1"/>
        <v>0.20248345954694677</v>
      </c>
      <c r="F22" s="98">
        <f>+'Monthly Energy Allocators'!N101</f>
        <v>2604169807.9099383</v>
      </c>
      <c r="G22" s="130">
        <f t="shared" si="1"/>
        <v>0.2252175546701266</v>
      </c>
      <c r="H22" s="98">
        <f>+'Monthly Energy Allocators'!N9</f>
        <v>2461268950.7201157</v>
      </c>
      <c r="I22" s="8">
        <f>+'Monthly Fuel Cost Allocation'!N75</f>
        <v>98769151.07393558</v>
      </c>
      <c r="J22" s="8">
        <f t="shared" si="2"/>
        <v>6724688.850574878</v>
      </c>
      <c r="K22" s="8">
        <f t="shared" si="3"/>
        <v>3659573.185151087</v>
      </c>
      <c r="L22" s="9">
        <f t="shared" si="4"/>
        <v>1656463.374487495</v>
      </c>
      <c r="M22" s="10">
        <f t="shared" si="5"/>
        <v>5316036.559638582</v>
      </c>
      <c r="N22" s="10">
        <f t="shared" si="6"/>
        <v>12040725.410213461</v>
      </c>
      <c r="O22" s="8">
        <f t="shared" si="7"/>
        <v>7328582.529303965</v>
      </c>
      <c r="P22" s="8">
        <f t="shared" si="8"/>
        <v>2198574.7587911896</v>
      </c>
      <c r="Q22" s="9">
        <f t="shared" si="9"/>
        <v>847133.3238236053</v>
      </c>
      <c r="R22" s="10">
        <f t="shared" si="10"/>
        <v>3045708.082614795</v>
      </c>
      <c r="S22" s="10">
        <f t="shared" si="11"/>
        <v>10374290.611918759</v>
      </c>
      <c r="T22" s="9">
        <f t="shared" si="12"/>
        <v>121184167.0960678</v>
      </c>
      <c r="U22" s="123">
        <f t="shared" si="13"/>
        <v>-358480.1330737685</v>
      </c>
      <c r="V22" s="123">
        <f t="shared" si="14"/>
        <v>-495478.6202742778</v>
      </c>
      <c r="W22" s="9">
        <f t="shared" si="15"/>
        <v>1159429.007518816</v>
      </c>
      <c r="X22" s="10">
        <f t="shared" si="16"/>
        <v>121489637.35023858</v>
      </c>
      <c r="Y22" s="9">
        <f t="shared" si="17"/>
        <v>130200008.93070014</v>
      </c>
      <c r="Z22" s="15">
        <f t="shared" si="18"/>
        <v>0.24109679898834965</v>
      </c>
      <c r="AA22" s="9">
        <f t="shared" si="19"/>
        <v>130335780.72025886</v>
      </c>
      <c r="AB22" s="437">
        <f t="shared" si="20"/>
        <v>5.2954708863541855</v>
      </c>
      <c r="AC22" s="52"/>
      <c r="AD22" s="45"/>
      <c r="AE22" s="226"/>
      <c r="AF22" s="226"/>
    </row>
    <row r="23" spans="1:32" ht="15">
      <c r="A23" s="39">
        <f>ROW()</f>
        <v>23</v>
      </c>
      <c r="B23" s="52" t="s">
        <v>13</v>
      </c>
      <c r="C23" s="68">
        <v>0.9868926072234047</v>
      </c>
      <c r="D23" s="99">
        <f>+'3CP &amp; Rate Base'!O8</f>
        <v>168072.69008246972</v>
      </c>
      <c r="E23" s="130">
        <f t="shared" si="1"/>
        <v>0.0257804892276084</v>
      </c>
      <c r="F23" s="98">
        <f>+'Monthly Energy Allocators'!N102</f>
        <v>439844438.6382016</v>
      </c>
      <c r="G23" s="130">
        <f t="shared" si="1"/>
        <v>0.03803925865527744</v>
      </c>
      <c r="H23" s="98">
        <f>+'Monthly Energy Allocators'!N10</f>
        <v>415187344.9368364</v>
      </c>
      <c r="I23" s="8">
        <f>+'Monthly Fuel Cost Allocation'!N76</f>
        <v>16655359.234589254</v>
      </c>
      <c r="J23" s="8">
        <f t="shared" si="2"/>
        <v>1135800.3550742236</v>
      </c>
      <c r="K23" s="8">
        <f t="shared" si="3"/>
        <v>618102.1331209069</v>
      </c>
      <c r="L23" s="9">
        <f t="shared" si="4"/>
        <v>210903.331449656</v>
      </c>
      <c r="M23" s="10">
        <f t="shared" si="5"/>
        <v>829005.4645705628</v>
      </c>
      <c r="N23" s="10">
        <f t="shared" si="6"/>
        <v>1964805.8196447867</v>
      </c>
      <c r="O23" s="8">
        <f t="shared" si="7"/>
        <v>1237798.0340700243</v>
      </c>
      <c r="P23" s="8">
        <f t="shared" si="8"/>
        <v>371339.41022100725</v>
      </c>
      <c r="Q23" s="9">
        <f t="shared" si="9"/>
        <v>107858.24964689997</v>
      </c>
      <c r="R23" s="10">
        <f t="shared" si="10"/>
        <v>479197.65986790723</v>
      </c>
      <c r="S23" s="10">
        <f t="shared" si="11"/>
        <v>1716995.6939379314</v>
      </c>
      <c r="T23" s="9">
        <f t="shared" si="12"/>
        <v>20337160.748171974</v>
      </c>
      <c r="U23" s="123">
        <f t="shared" si="13"/>
        <v>-60547.316237157036</v>
      </c>
      <c r="V23" s="123">
        <f t="shared" si="14"/>
        <v>-83686.36904161025</v>
      </c>
      <c r="W23" s="9">
        <f t="shared" si="15"/>
        <v>195827.62975132282</v>
      </c>
      <c r="X23" s="10">
        <f t="shared" si="16"/>
        <v>20388754.692644533</v>
      </c>
      <c r="Y23" s="9">
        <f t="shared" si="17"/>
        <v>20121511.27666239</v>
      </c>
      <c r="Z23" s="15">
        <f t="shared" si="18"/>
        <v>0.03725984352423037</v>
      </c>
      <c r="AA23" s="9">
        <f t="shared" si="19"/>
        <v>20142493.868116073</v>
      </c>
      <c r="AB23" s="437">
        <f t="shared" si="20"/>
        <v>4.851422885054554</v>
      </c>
      <c r="AC23" s="52"/>
      <c r="AD23" s="45"/>
      <c r="AE23" s="226"/>
      <c r="AF23" s="226"/>
    </row>
    <row r="24" spans="1:32" ht="15">
      <c r="A24" s="39">
        <f>ROW()</f>
        <v>24</v>
      </c>
      <c r="B24" s="52" t="s">
        <v>14</v>
      </c>
      <c r="C24" s="68">
        <v>1.0199922607718757</v>
      </c>
      <c r="D24" s="99">
        <f>+'3CP &amp; Rate Base'!O9</f>
        <v>101706.12641754713</v>
      </c>
      <c r="E24" s="130">
        <f t="shared" si="1"/>
        <v>0.015600593381368355</v>
      </c>
      <c r="F24" s="98">
        <f>+'Monthly Energy Allocators'!N103</f>
        <v>269639007.34392697</v>
      </c>
      <c r="G24" s="130">
        <f t="shared" si="1"/>
        <v>0.02331930801640709</v>
      </c>
      <c r="H24" s="98">
        <f>+'Monthly Energy Allocators'!N11</f>
        <v>255790937.18444976</v>
      </c>
      <c r="I24" s="8">
        <f>+'Monthly Fuel Cost Allocation'!N77</f>
        <v>10194669.293295804</v>
      </c>
      <c r="J24" s="8">
        <f t="shared" si="2"/>
        <v>696282.7158421966</v>
      </c>
      <c r="K24" s="8">
        <f t="shared" si="3"/>
        <v>378916.7964198739</v>
      </c>
      <c r="L24" s="9">
        <f t="shared" si="4"/>
        <v>127624.30874269588</v>
      </c>
      <c r="M24" s="10">
        <f t="shared" si="5"/>
        <v>506541.1051625698</v>
      </c>
      <c r="N24" s="10">
        <f t="shared" si="6"/>
        <v>1202823.8210047665</v>
      </c>
      <c r="O24" s="8">
        <f t="shared" si="7"/>
        <v>758810.6245750263</v>
      </c>
      <c r="P24" s="8">
        <f t="shared" si="8"/>
        <v>227643.1873725079</v>
      </c>
      <c r="Q24" s="9">
        <f t="shared" si="9"/>
        <v>65268.45478810564</v>
      </c>
      <c r="R24" s="10">
        <f t="shared" si="10"/>
        <v>292911.64216061356</v>
      </c>
      <c r="S24" s="10">
        <f t="shared" si="11"/>
        <v>1051722.26673564</v>
      </c>
      <c r="T24" s="9">
        <f t="shared" si="12"/>
        <v>12449215.38103621</v>
      </c>
      <c r="U24" s="123">
        <f t="shared" si="13"/>
        <v>-37117.48248556327</v>
      </c>
      <c r="V24" s="123">
        <f t="shared" si="14"/>
        <v>-51302.47763609552</v>
      </c>
      <c r="W24" s="9">
        <f t="shared" si="15"/>
        <v>120048.7332752073</v>
      </c>
      <c r="X24" s="10">
        <f t="shared" si="16"/>
        <v>12480844.15418976</v>
      </c>
      <c r="Y24" s="9">
        <f t="shared" si="17"/>
        <v>12730364.445173461</v>
      </c>
      <c r="Z24" s="15">
        <f t="shared" si="18"/>
        <v>0.023573347981258964</v>
      </c>
      <c r="AA24" s="9">
        <f t="shared" si="19"/>
        <v>12743639.59297607</v>
      </c>
      <c r="AB24" s="437">
        <f t="shared" si="20"/>
        <v>4.982052817526793</v>
      </c>
      <c r="AC24" s="52"/>
      <c r="AD24" s="45"/>
      <c r="AE24" s="226"/>
      <c r="AF24" s="226"/>
    </row>
    <row r="25" spans="1:32" ht="15">
      <c r="A25" s="39">
        <f>ROW()</f>
        <v>25</v>
      </c>
      <c r="B25" s="52" t="s">
        <v>15</v>
      </c>
      <c r="C25" s="68">
        <v>1.0079264649800135</v>
      </c>
      <c r="D25" s="99">
        <f>+'3CP &amp; Rate Base'!O10</f>
        <v>186552.46315660368</v>
      </c>
      <c r="E25" s="130">
        <f t="shared" si="1"/>
        <v>0.028615081750835047</v>
      </c>
      <c r="F25" s="98">
        <f>+'Monthly Energy Allocators'!N104</f>
        <v>515531696.56011075</v>
      </c>
      <c r="G25" s="130">
        <f t="shared" si="1"/>
        <v>0.044584952832778274</v>
      </c>
      <c r="H25" s="98">
        <f>+'Monthly Energy Allocators'!N12</f>
        <v>490940739.6099757</v>
      </c>
      <c r="I25" s="8">
        <f>+'Monthly Fuel Cost Allocation'!N78</f>
        <v>19454548.85037102</v>
      </c>
      <c r="J25" s="8">
        <f t="shared" si="2"/>
        <v>1331245.8509601238</v>
      </c>
      <c r="K25" s="8">
        <f t="shared" si="3"/>
        <v>724463.499690522</v>
      </c>
      <c r="L25" s="9">
        <f t="shared" si="4"/>
        <v>234092.37961599467</v>
      </c>
      <c r="M25" s="10">
        <f t="shared" si="5"/>
        <v>958555.8793065166</v>
      </c>
      <c r="N25" s="10">
        <f t="shared" si="6"/>
        <v>2289801.7302666404</v>
      </c>
      <c r="O25" s="8">
        <f t="shared" si="7"/>
        <v>1450795.0185265036</v>
      </c>
      <c r="P25" s="8">
        <f t="shared" si="8"/>
        <v>435238.5055579511</v>
      </c>
      <c r="Q25" s="9">
        <f t="shared" si="9"/>
        <v>119717.38022111748</v>
      </c>
      <c r="R25" s="10">
        <f t="shared" si="10"/>
        <v>554955.8857790686</v>
      </c>
      <c r="S25" s="10">
        <f t="shared" si="11"/>
        <v>2005750.9043055722</v>
      </c>
      <c r="T25" s="9">
        <f t="shared" si="12"/>
        <v>23750101.484943237</v>
      </c>
      <c r="U25" s="123">
        <f t="shared" si="13"/>
        <v>-70966.13693365018</v>
      </c>
      <c r="V25" s="123">
        <f t="shared" si="14"/>
        <v>-98086.89623211206</v>
      </c>
      <c r="W25" s="9">
        <f t="shared" si="15"/>
        <v>229525.1260004824</v>
      </c>
      <c r="X25" s="10">
        <f t="shared" si="16"/>
        <v>23810573.577777956</v>
      </c>
      <c r="Y25" s="9">
        <f t="shared" si="17"/>
        <v>23999307.255396247</v>
      </c>
      <c r="Z25" s="15">
        <f t="shared" si="18"/>
        <v>0.044440520432634016</v>
      </c>
      <c r="AA25" s="9">
        <f t="shared" si="19"/>
        <v>24024333.589272838</v>
      </c>
      <c r="AB25" s="437">
        <f t="shared" si="20"/>
        <v>4.893530247328587</v>
      </c>
      <c r="AC25" s="52"/>
      <c r="AD25" s="45"/>
      <c r="AE25" s="226"/>
      <c r="AF25" s="226"/>
    </row>
    <row r="26" spans="1:32" ht="15">
      <c r="A26" s="39">
        <f>ROW()</f>
        <v>26</v>
      </c>
      <c r="B26" s="52" t="s">
        <v>16</v>
      </c>
      <c r="C26" s="68">
        <v>0.975411314071792</v>
      </c>
      <c r="D26" s="99">
        <f>+'3CP &amp; Rate Base'!O11</f>
        <v>339444.649785057</v>
      </c>
      <c r="E26" s="130">
        <f t="shared" si="1"/>
        <v>0.052067049875021414</v>
      </c>
      <c r="F26" s="98">
        <f>+'Monthly Energy Allocators'!N105</f>
        <v>964488862.4728872</v>
      </c>
      <c r="G26" s="130">
        <f t="shared" si="1"/>
        <v>0.08341231146023176</v>
      </c>
      <c r="H26" s="98">
        <f>+'Monthly Energy Allocators'!N13</f>
        <v>926623571.0008214</v>
      </c>
      <c r="I26" s="8">
        <f>+'Monthly Fuel Cost Allocation'!N79</f>
        <v>36464773.40590466</v>
      </c>
      <c r="J26" s="8">
        <f t="shared" si="2"/>
        <v>2490577.795762302</v>
      </c>
      <c r="K26" s="8">
        <f t="shared" si="3"/>
        <v>1355371.515237504</v>
      </c>
      <c r="L26" s="9">
        <f t="shared" si="4"/>
        <v>425946.6987010357</v>
      </c>
      <c r="M26" s="10">
        <f t="shared" si="5"/>
        <v>1781318.2139385396</v>
      </c>
      <c r="N26" s="10">
        <f t="shared" si="6"/>
        <v>4271896.009700842</v>
      </c>
      <c r="O26" s="8">
        <f t="shared" si="7"/>
        <v>2714237.837239953</v>
      </c>
      <c r="P26" s="8">
        <f t="shared" si="8"/>
        <v>814271.351171986</v>
      </c>
      <c r="Q26" s="9">
        <f t="shared" si="9"/>
        <v>217833.75847591014</v>
      </c>
      <c r="R26" s="10">
        <f t="shared" si="10"/>
        <v>1032105.1096478961</v>
      </c>
      <c r="S26" s="10">
        <f t="shared" si="11"/>
        <v>3746342.946887849</v>
      </c>
      <c r="T26" s="9">
        <f t="shared" si="12"/>
        <v>44483012.36249335</v>
      </c>
      <c r="U26" s="123">
        <f t="shared" si="13"/>
        <v>-132767.87662511965</v>
      </c>
      <c r="V26" s="123">
        <f t="shared" si="14"/>
        <v>-183507.08521250958</v>
      </c>
      <c r="W26" s="9">
        <f t="shared" si="15"/>
        <v>429409.92602835863</v>
      </c>
      <c r="X26" s="10">
        <f t="shared" si="16"/>
        <v>44596147.32668408</v>
      </c>
      <c r="Y26" s="9">
        <f t="shared" si="17"/>
        <v>43499586.66646016</v>
      </c>
      <c r="Z26" s="15">
        <f t="shared" si="18"/>
        <v>0.0805500029434095</v>
      </c>
      <c r="AA26" s="9">
        <f t="shared" si="19"/>
        <v>43544947.77492148</v>
      </c>
      <c r="AB26" s="437">
        <f t="shared" si="20"/>
        <v>4.69931363044108</v>
      </c>
      <c r="AC26" s="52"/>
      <c r="AD26" s="45"/>
      <c r="AE26" s="226"/>
      <c r="AF26" s="226"/>
    </row>
    <row r="27" spans="1:32" ht="15">
      <c r="A27" s="39">
        <f>ROW()</f>
        <v>27</v>
      </c>
      <c r="B27" s="52" t="s">
        <v>38</v>
      </c>
      <c r="C27" s="68">
        <v>0.90990463455193</v>
      </c>
      <c r="D27" s="99">
        <f>+'3CP &amp; Rate Base'!O17</f>
        <v>680345.5776</v>
      </c>
      <c r="E27" s="130">
        <f t="shared" si="1"/>
        <v>0.10435747667132288</v>
      </c>
      <c r="F27" s="98">
        <f>+'Monthly Energy Allocators'!N106</f>
        <v>1470832145.4700592</v>
      </c>
      <c r="G27" s="130">
        <f t="shared" si="1"/>
        <v>0.1272026187105072</v>
      </c>
      <c r="H27" s="98">
        <f>+'Monthly Energy Allocators'!N14</f>
        <v>1457706100</v>
      </c>
      <c r="I27" s="8">
        <f>+'Monthly Fuel Cost Allocation'!N80</f>
        <v>55990235.03276142</v>
      </c>
      <c r="J27" s="8">
        <f t="shared" si="2"/>
        <v>3798096.614002253</v>
      </c>
      <c r="K27" s="8">
        <f t="shared" si="3"/>
        <v>2066922.7724978763</v>
      </c>
      <c r="L27" s="9">
        <f t="shared" si="4"/>
        <v>853720.7846347573</v>
      </c>
      <c r="M27" s="10">
        <f t="shared" si="5"/>
        <v>2920643.5571326334</v>
      </c>
      <c r="N27" s="10">
        <f t="shared" si="6"/>
        <v>6718740.171134887</v>
      </c>
      <c r="O27" s="8">
        <f t="shared" si="7"/>
        <v>4139175.0768670784</v>
      </c>
      <c r="P27" s="8">
        <f t="shared" si="8"/>
        <v>1241752.5230601237</v>
      </c>
      <c r="Q27" s="9">
        <f t="shared" si="9"/>
        <v>436602.0625893398</v>
      </c>
      <c r="R27" s="10">
        <f t="shared" si="10"/>
        <v>1678354.5856494633</v>
      </c>
      <c r="S27" s="10">
        <f t="shared" si="11"/>
        <v>5817529.662516542</v>
      </c>
      <c r="T27" s="9">
        <f t="shared" si="12"/>
        <v>68526504.86641285</v>
      </c>
      <c r="U27" s="123">
        <f t="shared" si="13"/>
        <v>-202469.17141722658</v>
      </c>
      <c r="V27" s="123">
        <f t="shared" si="14"/>
        <v>-279845.76116311544</v>
      </c>
      <c r="W27" s="9">
        <f t="shared" si="15"/>
        <v>654844.1846877052</v>
      </c>
      <c r="X27" s="10">
        <f t="shared" si="16"/>
        <v>68699034.11852022</v>
      </c>
      <c r="Y27" s="9">
        <f t="shared" si="17"/>
        <v>62509569.53368271</v>
      </c>
      <c r="Z27" s="15">
        <f t="shared" si="18"/>
        <v>0.11575158284921575</v>
      </c>
      <c r="AA27" s="9">
        <f t="shared" si="19"/>
        <v>62574754.13842918</v>
      </c>
      <c r="AB27" s="437">
        <f t="shared" si="20"/>
        <v>4.292686580541111</v>
      </c>
      <c r="AC27" s="52"/>
      <c r="AD27" s="45"/>
      <c r="AE27" s="226"/>
      <c r="AF27" s="226"/>
    </row>
    <row r="28" spans="1:32" ht="15">
      <c r="A28" s="39">
        <f>ROW()</f>
        <v>28</v>
      </c>
      <c r="B28" s="52" t="s">
        <v>17</v>
      </c>
      <c r="C28" s="68">
        <v>0.9983575193075592</v>
      </c>
      <c r="D28" s="99">
        <f>+'3CP &amp; Rate Base'!O18</f>
        <v>127876.04111987856</v>
      </c>
      <c r="E28" s="130">
        <f t="shared" si="1"/>
        <v>0.019614768460852347</v>
      </c>
      <c r="F28" s="98">
        <f>+'Monthly Energy Allocators'!N107</f>
        <v>201315057.1910414</v>
      </c>
      <c r="G28" s="130">
        <f t="shared" si="1"/>
        <v>0.0174104180000581</v>
      </c>
      <c r="H28" s="98">
        <f>+'Monthly Energy Allocators'!N15</f>
        <v>193783569.32209796</v>
      </c>
      <c r="I28" s="8">
        <f>+'Monthly Fuel Cost Allocation'!N81</f>
        <v>7629516.449552786</v>
      </c>
      <c r="J28" s="8">
        <f t="shared" si="2"/>
        <v>519851.323225332</v>
      </c>
      <c r="K28" s="8">
        <f t="shared" si="3"/>
        <v>282902.89781632065</v>
      </c>
      <c r="L28" s="9">
        <f t="shared" si="4"/>
        <v>160463.20833885763</v>
      </c>
      <c r="M28" s="10">
        <f t="shared" si="5"/>
        <v>443366.1061551783</v>
      </c>
      <c r="N28" s="10">
        <f t="shared" si="6"/>
        <v>963217.4293805102</v>
      </c>
      <c r="O28" s="8">
        <f t="shared" si="7"/>
        <v>566535.2568541559</v>
      </c>
      <c r="P28" s="8">
        <f t="shared" si="8"/>
        <v>169960.57705624678</v>
      </c>
      <c r="Q28" s="9">
        <f t="shared" si="9"/>
        <v>82062.62397655103</v>
      </c>
      <c r="R28" s="10">
        <f t="shared" si="10"/>
        <v>252023.2010327978</v>
      </c>
      <c r="S28" s="10">
        <f t="shared" si="11"/>
        <v>818558.4578869537</v>
      </c>
      <c r="T28" s="9">
        <f t="shared" si="12"/>
        <v>9411292.336820249</v>
      </c>
      <c r="U28" s="123">
        <f t="shared" si="13"/>
        <v>-27712.266793200477</v>
      </c>
      <c r="V28" s="123">
        <f t="shared" si="14"/>
        <v>-38302.91960012776</v>
      </c>
      <c r="W28" s="9">
        <f t="shared" si="15"/>
        <v>89629.53039722632</v>
      </c>
      <c r="X28" s="10">
        <f t="shared" si="16"/>
        <v>9434906.680824148</v>
      </c>
      <c r="Y28" s="9">
        <f t="shared" si="17"/>
        <v>9419410.028765913</v>
      </c>
      <c r="Z28" s="15">
        <f t="shared" si="18"/>
        <v>0.017442315288188424</v>
      </c>
      <c r="AA28" s="9">
        <f t="shared" si="19"/>
        <v>9429232.533132052</v>
      </c>
      <c r="AB28" s="437">
        <f t="shared" si="20"/>
        <v>4.865857598824194</v>
      </c>
      <c r="AC28" s="52"/>
      <c r="AD28" s="45"/>
      <c r="AE28" s="226"/>
      <c r="AF28" s="226"/>
    </row>
    <row r="29" spans="1:32" ht="19.5">
      <c r="A29" s="39">
        <f>ROW()</f>
        <v>29</v>
      </c>
      <c r="B29" s="52" t="s">
        <v>163</v>
      </c>
      <c r="C29" s="68">
        <v>1</v>
      </c>
      <c r="D29" s="104">
        <f>+'3CP &amp; Rate Base'!O19</f>
        <v>72586.47613486675</v>
      </c>
      <c r="E29" s="131">
        <f t="shared" si="1"/>
        <v>0.011133961532636693</v>
      </c>
      <c r="F29" s="129">
        <f>+'Monthly Energy Allocators'!N108</f>
        <v>125392336.91513792</v>
      </c>
      <c r="G29" s="131">
        <f t="shared" si="1"/>
        <v>0.010844360228976538</v>
      </c>
      <c r="H29" s="129">
        <f>+'Monthly Energy Allocators'!N16</f>
        <v>113949870.2844692</v>
      </c>
      <c r="I29" s="5">
        <f>+'Monthly Fuel Cost Allocation'!N82</f>
        <v>4726504.577507081</v>
      </c>
      <c r="J29" s="11">
        <f t="shared" si="2"/>
        <v>323797.798223271</v>
      </c>
      <c r="K29" s="11">
        <f t="shared" si="3"/>
        <v>176210.6420265891</v>
      </c>
      <c r="L29" s="12">
        <f t="shared" si="4"/>
        <v>91083.98055343005</v>
      </c>
      <c r="M29" s="13">
        <f t="shared" si="5"/>
        <v>267294.6225800192</v>
      </c>
      <c r="N29" s="13">
        <f t="shared" si="6"/>
        <v>591092.4208032901</v>
      </c>
      <c r="O29" s="11">
        <f t="shared" si="7"/>
        <v>352875.6407641513</v>
      </c>
      <c r="P29" s="11">
        <f t="shared" si="8"/>
        <v>105862.6922292454</v>
      </c>
      <c r="Q29" s="12">
        <f t="shared" si="9"/>
        <v>46581.33489802332</v>
      </c>
      <c r="R29" s="13">
        <f t="shared" si="10"/>
        <v>152444.02712726872</v>
      </c>
      <c r="S29" s="13">
        <f t="shared" si="11"/>
        <v>505319.66789142</v>
      </c>
      <c r="T29" s="6">
        <f t="shared" si="12"/>
        <v>5822916.666201792</v>
      </c>
      <c r="U29" s="124">
        <f t="shared" si="13"/>
        <v>-17261.03324262333</v>
      </c>
      <c r="V29" s="124">
        <f t="shared" si="14"/>
        <v>-23857.59250374835</v>
      </c>
      <c r="W29" s="12">
        <f t="shared" si="15"/>
        <v>55827.201551294245</v>
      </c>
      <c r="X29" s="13">
        <f t="shared" si="16"/>
        <v>5837625.242006714</v>
      </c>
      <c r="Y29" s="6">
        <f t="shared" si="17"/>
        <v>5837625.242006714</v>
      </c>
      <c r="Z29" s="16">
        <f t="shared" si="18"/>
        <v>0.01080977467743896</v>
      </c>
      <c r="AA29" s="6">
        <f t="shared" si="19"/>
        <v>5843712.682648153</v>
      </c>
      <c r="AB29" s="438">
        <f t="shared" si="20"/>
        <v>5.1283188546504395</v>
      </c>
      <c r="AC29" s="52"/>
      <c r="AD29" s="45"/>
      <c r="AE29" s="226"/>
      <c r="AF29" s="226"/>
    </row>
    <row r="30" spans="1:32" ht="15">
      <c r="A30" s="39">
        <f>ROW()</f>
        <v>30</v>
      </c>
      <c r="B30" s="58" t="s">
        <v>26</v>
      </c>
      <c r="C30" s="68">
        <v>1</v>
      </c>
      <c r="D30" s="98">
        <f>SUM(D19:D29)</f>
        <v>6519375.509076073</v>
      </c>
      <c r="E30" s="130">
        <f>SUM(E19:E29)</f>
        <v>1.0000000000000002</v>
      </c>
      <c r="F30" s="98">
        <f>F19+SUM(F21:F29)</f>
        <v>11562907748.129288</v>
      </c>
      <c r="G30" s="130">
        <f>SUM(G19:G29)</f>
        <v>1</v>
      </c>
      <c r="H30" s="98">
        <f>H19+SUM(H21:H29)</f>
        <v>10867603123.206745</v>
      </c>
      <c r="I30" s="8">
        <f>I19+SUM(I21:I29)</f>
        <v>438464737.7140485</v>
      </c>
      <c r="J30" s="8">
        <f>+N30*J32</f>
        <v>29858635.400000002</v>
      </c>
      <c r="K30" s="8">
        <f>+M30*K32</f>
        <v>16249058.340550847</v>
      </c>
      <c r="L30" s="9">
        <f>+M30*L32</f>
        <v>8180734.259449158</v>
      </c>
      <c r="M30" s="10">
        <f>+N30*M32</f>
        <v>24429792.6</v>
      </c>
      <c r="N30" s="10">
        <f>+N40-N37</f>
        <v>54288428</v>
      </c>
      <c r="O30" s="8">
        <f>+S30*O32</f>
        <v>32540014.653999995</v>
      </c>
      <c r="P30" s="8">
        <f>+R30*P32</f>
        <v>9762004.3962</v>
      </c>
      <c r="Q30" s="9">
        <f>+R30*Q32</f>
        <v>4183716.1698</v>
      </c>
      <c r="R30" s="10">
        <f>+S30*R32</f>
        <v>13945720.566</v>
      </c>
      <c r="S30" s="10">
        <f>+S40-S37</f>
        <v>46485735.22</v>
      </c>
      <c r="T30" s="9">
        <f>T19+SUM(T21:T29)</f>
        <v>539238900.9340485</v>
      </c>
      <c r="U30" s="123">
        <f>-'Data Inputs - 2011'!O7</f>
        <v>-1591706</v>
      </c>
      <c r="V30" s="123">
        <f>+'Data Inputs - 2011'!O9</f>
        <v>-2199999.9999999967</v>
      </c>
      <c r="W30" s="9">
        <f>+'Data Inputs - 2011'!O10</f>
        <v>5148040.1215483295</v>
      </c>
      <c r="X30" s="10">
        <f>X19+SUM(X21:X29)</f>
        <v>540595235.0555968</v>
      </c>
      <c r="Y30" s="9">
        <f>SUM(Y19:Y29)</f>
        <v>540032092.8233962</v>
      </c>
      <c r="Z30" s="15">
        <f>SUM(Z19:Z29)</f>
        <v>1.0000000000000002</v>
      </c>
      <c r="AA30" s="9">
        <f>SUM(AA19:AA29)</f>
        <v>540595235.055597</v>
      </c>
      <c r="AB30" s="437">
        <f t="shared" si="20"/>
        <v>4.974374100036894</v>
      </c>
      <c r="AC30" s="52"/>
      <c r="AD30" s="45"/>
      <c r="AE30" s="226"/>
      <c r="AF30" s="226"/>
    </row>
    <row r="31" spans="1:30" ht="15">
      <c r="A31" s="39">
        <f>ROW()</f>
        <v>31</v>
      </c>
      <c r="B31" s="59"/>
      <c r="C31" s="53"/>
      <c r="D31" s="132"/>
      <c r="E31" s="28"/>
      <c r="F31" s="98"/>
      <c r="G31" s="98"/>
      <c r="H31" s="98"/>
      <c r="I31" s="8"/>
      <c r="J31" s="8"/>
      <c r="K31" s="60"/>
      <c r="L31" s="45"/>
      <c r="M31" s="54"/>
      <c r="N31" s="61"/>
      <c r="O31" s="8"/>
      <c r="P31" s="60"/>
      <c r="Q31" s="45"/>
      <c r="R31" s="54"/>
      <c r="S31" s="61"/>
      <c r="T31" s="62"/>
      <c r="U31" s="62"/>
      <c r="V31" s="62"/>
      <c r="W31" s="62"/>
      <c r="X31" s="10"/>
      <c r="Y31" s="9"/>
      <c r="Z31" s="45"/>
      <c r="AA31" s="45"/>
      <c r="AB31" s="437"/>
      <c r="AC31" s="52"/>
      <c r="AD31" s="45"/>
    </row>
    <row r="32" spans="1:30" ht="15">
      <c r="A32" s="39">
        <f>ROW()</f>
        <v>32</v>
      </c>
      <c r="B32" s="59" t="s">
        <v>157</v>
      </c>
      <c r="C32" s="53"/>
      <c r="D32" s="132"/>
      <c r="E32" s="28"/>
      <c r="F32" s="98"/>
      <c r="G32" s="98"/>
      <c r="H32" s="98"/>
      <c r="I32" s="8"/>
      <c r="J32" s="63">
        <v>0.55</v>
      </c>
      <c r="K32" s="64">
        <f>+'3CP &amp; Rate Base'!J56</f>
        <v>0.6651328812570781</v>
      </c>
      <c r="L32" s="65">
        <f>+'3CP &amp; Rate Base'!I56</f>
        <v>0.334867118742922</v>
      </c>
      <c r="M32" s="66">
        <v>0.45</v>
      </c>
      <c r="N32" s="61"/>
      <c r="O32" s="63">
        <v>0.7</v>
      </c>
      <c r="P32" s="64">
        <f>1-Q32</f>
        <v>0.7</v>
      </c>
      <c r="Q32" s="65">
        <f>513.3/1711</f>
        <v>0.3</v>
      </c>
      <c r="R32" s="66">
        <v>0.3</v>
      </c>
      <c r="S32" s="61"/>
      <c r="T32" s="62"/>
      <c r="U32" s="9"/>
      <c r="V32" s="9"/>
      <c r="W32" s="9"/>
      <c r="X32" s="10"/>
      <c r="Y32" s="9"/>
      <c r="Z32" s="45"/>
      <c r="AA32" s="45"/>
      <c r="AB32" s="437"/>
      <c r="AC32" s="52"/>
      <c r="AD32" s="45"/>
    </row>
    <row r="33" spans="1:30" ht="15">
      <c r="A33" s="39"/>
      <c r="B33" s="59"/>
      <c r="C33" s="53"/>
      <c r="D33" s="132"/>
      <c r="E33" s="28"/>
      <c r="F33" s="98"/>
      <c r="G33" s="98"/>
      <c r="H33" s="98"/>
      <c r="I33" s="8"/>
      <c r="J33" s="63"/>
      <c r="K33" s="67"/>
      <c r="L33" s="67"/>
      <c r="M33" s="155"/>
      <c r="N33" s="61"/>
      <c r="O33" s="63"/>
      <c r="P33" s="67"/>
      <c r="Q33" s="67"/>
      <c r="R33" s="67"/>
      <c r="S33" s="61"/>
      <c r="T33" s="62"/>
      <c r="U33" s="9"/>
      <c r="V33" s="9"/>
      <c r="W33" s="9"/>
      <c r="X33" s="10"/>
      <c r="Y33" s="9"/>
      <c r="Z33" s="45"/>
      <c r="AA33" s="45"/>
      <c r="AB33" s="437"/>
      <c r="AC33" s="52"/>
      <c r="AD33" s="45"/>
    </row>
    <row r="34" spans="1:30" ht="15">
      <c r="A34" s="39">
        <f>ROW()</f>
        <v>34</v>
      </c>
      <c r="B34" s="59" t="s">
        <v>74</v>
      </c>
      <c r="C34" s="53"/>
      <c r="D34" s="132"/>
      <c r="E34" s="28"/>
      <c r="F34" s="98"/>
      <c r="G34" s="98"/>
      <c r="H34" s="98"/>
      <c r="I34" s="8"/>
      <c r="J34" s="60"/>
      <c r="K34" s="9"/>
      <c r="L34" s="9"/>
      <c r="M34" s="62"/>
      <c r="N34" s="61"/>
      <c r="O34" s="60"/>
      <c r="P34" s="9"/>
      <c r="Q34" s="9"/>
      <c r="R34" s="62"/>
      <c r="S34" s="61"/>
      <c r="T34" s="62"/>
      <c r="U34" s="62"/>
      <c r="V34" s="62"/>
      <c r="W34" s="62"/>
      <c r="X34" s="10"/>
      <c r="Y34" s="9"/>
      <c r="Z34" s="45"/>
      <c r="AA34" s="45"/>
      <c r="AB34" s="437"/>
      <c r="AC34" s="52"/>
      <c r="AD34" s="45"/>
    </row>
    <row r="35" spans="1:30" ht="15">
      <c r="A35" s="39">
        <f>ROW()</f>
        <v>35</v>
      </c>
      <c r="B35" s="59" t="s">
        <v>130</v>
      </c>
      <c r="C35" s="68">
        <v>1</v>
      </c>
      <c r="D35" s="133">
        <f>+'3CP &amp; Rate Base'!O16</f>
        <v>42856.8</v>
      </c>
      <c r="E35" s="134">
        <f>D35/D$40</f>
        <v>0.006573758474310322</v>
      </c>
      <c r="F35" s="98">
        <f>'Monthly Energy Allocators'!N113</f>
        <v>181221733.85556668</v>
      </c>
      <c r="G35" s="96">
        <f>F35/F$40</f>
        <v>0.015672678343808956</v>
      </c>
      <c r="H35" s="98">
        <f>'Monthly Energy Allocators'!N21</f>
        <v>178878000</v>
      </c>
      <c r="I35" s="8">
        <f>+'Monthly Fuel Cost Allocation'!N39</f>
        <v>10242554.280000003</v>
      </c>
      <c r="J35" s="69">
        <f>'Monthly Fuel Cost Allocation'!N41</f>
        <v>0</v>
      </c>
      <c r="K35" s="62">
        <f>'Monthly Fuel Cost Allocation'!N42</f>
        <v>0</v>
      </c>
      <c r="L35" s="62">
        <f>'Monthly Fuel Cost Allocation'!N43</f>
        <v>0</v>
      </c>
      <c r="M35" s="62">
        <f>K35+L35</f>
        <v>0</v>
      </c>
      <c r="N35" s="10">
        <f>J35+M35</f>
        <v>0</v>
      </c>
      <c r="O35" s="69">
        <f>'Monthly Fuel Cost Allocation'!N46</f>
        <v>0</v>
      </c>
      <c r="P35" s="62">
        <f>'Monthly Fuel Cost Allocation'!N47</f>
        <v>0</v>
      </c>
      <c r="Q35" s="62">
        <f>'Monthly Fuel Cost Allocation'!N48</f>
        <v>0</v>
      </c>
      <c r="R35" s="62">
        <f>P35+Q35</f>
        <v>0</v>
      </c>
      <c r="S35" s="10">
        <f>O35+R35</f>
        <v>0</v>
      </c>
      <c r="T35" s="9">
        <f>+I35+N35+S35</f>
        <v>10242554.280000003</v>
      </c>
      <c r="U35" s="62">
        <v>0</v>
      </c>
      <c r="V35" s="62"/>
      <c r="W35" s="62"/>
      <c r="X35" s="10">
        <f>+T35+U35</f>
        <v>10242554.280000003</v>
      </c>
      <c r="Y35" s="9" t="s">
        <v>28</v>
      </c>
      <c r="Z35" s="70" t="s">
        <v>28</v>
      </c>
      <c r="AA35" s="62">
        <f>+X35</f>
        <v>10242554.280000003</v>
      </c>
      <c r="AB35" s="437"/>
      <c r="AC35" s="52"/>
      <c r="AD35" s="45"/>
    </row>
    <row r="36" spans="1:30" ht="15">
      <c r="A36" s="39">
        <f>ROW()</f>
        <v>36</v>
      </c>
      <c r="B36" s="59" t="s">
        <v>166</v>
      </c>
      <c r="C36" s="68">
        <v>1</v>
      </c>
      <c r="D36" s="135">
        <v>0</v>
      </c>
      <c r="E36" s="136">
        <f>D36/D$40</f>
        <v>0</v>
      </c>
      <c r="F36" s="129">
        <f>'Monthly Energy Allocators'!N114</f>
        <v>0</v>
      </c>
      <c r="G36" s="96">
        <f>F36/F$40</f>
        <v>0</v>
      </c>
      <c r="H36" s="129">
        <f>'Monthly Energy Allocators'!N22</f>
        <v>0</v>
      </c>
      <c r="I36" s="5">
        <f>+'Monthly Fuel Cost Allocation'!N54</f>
        <v>0</v>
      </c>
      <c r="J36" s="71">
        <f>'Monthly Fuel Cost Allocation'!N56</f>
        <v>0</v>
      </c>
      <c r="K36" s="72">
        <f>'Monthly Fuel Cost Allocation'!N57</f>
        <v>0</v>
      </c>
      <c r="L36" s="72">
        <f>'Monthly Fuel Cost Allocation'!N58</f>
        <v>0</v>
      </c>
      <c r="M36" s="72">
        <f>K36+L36</f>
        <v>0</v>
      </c>
      <c r="N36" s="7">
        <f>J36+M36</f>
        <v>0</v>
      </c>
      <c r="O36" s="71">
        <f>'Monthly Fuel Cost Allocation'!N61</f>
        <v>0</v>
      </c>
      <c r="P36" s="72">
        <f>'Monthly Fuel Cost Allocation'!N62</f>
        <v>0</v>
      </c>
      <c r="Q36" s="72">
        <f>'Monthly Fuel Cost Allocation'!N63</f>
        <v>0</v>
      </c>
      <c r="R36" s="72">
        <f>P36+Q36</f>
        <v>0</v>
      </c>
      <c r="S36" s="7">
        <f>O36+R36</f>
        <v>0</v>
      </c>
      <c r="T36" s="6">
        <f>+I36+N36+S36</f>
        <v>0</v>
      </c>
      <c r="U36" s="72">
        <v>0</v>
      </c>
      <c r="V36" s="72"/>
      <c r="W36" s="72"/>
      <c r="X36" s="7">
        <f>+T36+U36</f>
        <v>0</v>
      </c>
      <c r="Y36" s="9"/>
      <c r="Z36" s="70"/>
      <c r="AA36" s="72">
        <f>+X36</f>
        <v>0</v>
      </c>
      <c r="AB36" s="439"/>
      <c r="AC36" s="52"/>
      <c r="AD36" s="45"/>
    </row>
    <row r="37" spans="1:30" ht="15">
      <c r="A37" s="39">
        <f>ROW()</f>
        <v>37</v>
      </c>
      <c r="B37" s="59" t="s">
        <v>106</v>
      </c>
      <c r="C37" s="68"/>
      <c r="D37" s="133">
        <f>SUM(D35:D36)</f>
        <v>42856.8</v>
      </c>
      <c r="E37" s="96"/>
      <c r="F37" s="98">
        <f>+F35+F36</f>
        <v>181221733.85556668</v>
      </c>
      <c r="G37" s="98"/>
      <c r="H37" s="98">
        <f aca="true" t="shared" si="21" ref="H37:U37">+H35+H36</f>
        <v>178878000</v>
      </c>
      <c r="I37" s="8">
        <f t="shared" si="21"/>
        <v>10242554.280000003</v>
      </c>
      <c r="J37" s="69">
        <f t="shared" si="21"/>
        <v>0</v>
      </c>
      <c r="K37" s="62">
        <f t="shared" si="21"/>
        <v>0</v>
      </c>
      <c r="L37" s="62">
        <f t="shared" si="21"/>
        <v>0</v>
      </c>
      <c r="M37" s="62">
        <f t="shared" si="21"/>
        <v>0</v>
      </c>
      <c r="N37" s="10">
        <f t="shared" si="21"/>
        <v>0</v>
      </c>
      <c r="O37" s="69">
        <f t="shared" si="21"/>
        <v>0</v>
      </c>
      <c r="P37" s="62">
        <f t="shared" si="21"/>
        <v>0</v>
      </c>
      <c r="Q37" s="62">
        <f t="shared" si="21"/>
        <v>0</v>
      </c>
      <c r="R37" s="62">
        <f t="shared" si="21"/>
        <v>0</v>
      </c>
      <c r="S37" s="10">
        <f t="shared" si="21"/>
        <v>0</v>
      </c>
      <c r="T37" s="9">
        <f t="shared" si="21"/>
        <v>10242554.280000003</v>
      </c>
      <c r="U37" s="62">
        <f t="shared" si="21"/>
        <v>0</v>
      </c>
      <c r="V37" s="62"/>
      <c r="W37" s="62"/>
      <c r="X37" s="10">
        <f>+X35+X36</f>
        <v>10242554.280000003</v>
      </c>
      <c r="Y37" s="9"/>
      <c r="Z37" s="70"/>
      <c r="AA37" s="62">
        <f>+X37</f>
        <v>10242554.280000003</v>
      </c>
      <c r="AB37" s="437">
        <f>+AA37/H37*100</f>
        <v>5.726000000000002</v>
      </c>
      <c r="AC37" s="52"/>
      <c r="AD37" s="45"/>
    </row>
    <row r="38" spans="1:30" ht="15">
      <c r="A38" s="39">
        <f>ROW()</f>
        <v>38</v>
      </c>
      <c r="B38" s="59"/>
      <c r="C38" s="68"/>
      <c r="D38" s="133"/>
      <c r="E38" s="96"/>
      <c r="F38" s="98"/>
      <c r="G38" s="98"/>
      <c r="H38" s="98"/>
      <c r="I38" s="8"/>
      <c r="J38" s="69"/>
      <c r="K38" s="62"/>
      <c r="L38" s="62"/>
      <c r="M38" s="62"/>
      <c r="N38" s="10"/>
      <c r="O38" s="69"/>
      <c r="P38" s="62"/>
      <c r="Q38" s="62"/>
      <c r="R38" s="62"/>
      <c r="S38" s="10"/>
      <c r="T38" s="9"/>
      <c r="U38" s="62"/>
      <c r="V38" s="62"/>
      <c r="W38" s="62"/>
      <c r="X38" s="10"/>
      <c r="Y38" s="9"/>
      <c r="Z38" s="70"/>
      <c r="AA38" s="62"/>
      <c r="AB38" s="437"/>
      <c r="AC38" s="52"/>
      <c r="AD38" s="45"/>
    </row>
    <row r="39" spans="1:30" ht="10.5" customHeight="1">
      <c r="A39" s="39">
        <f>ROW()</f>
        <v>39</v>
      </c>
      <c r="B39" s="59"/>
      <c r="C39" s="53"/>
      <c r="D39" s="133"/>
      <c r="E39" s="28"/>
      <c r="F39" s="98"/>
      <c r="G39" s="98"/>
      <c r="H39" s="98"/>
      <c r="I39" s="83"/>
      <c r="J39" s="84"/>
      <c r="K39" s="85"/>
      <c r="L39" s="85"/>
      <c r="M39" s="85"/>
      <c r="N39" s="86"/>
      <c r="O39" s="84"/>
      <c r="P39" s="85"/>
      <c r="Q39" s="85"/>
      <c r="R39" s="85"/>
      <c r="S39" s="86"/>
      <c r="T39" s="85"/>
      <c r="U39" s="85"/>
      <c r="V39" s="85"/>
      <c r="W39" s="85"/>
      <c r="X39" s="87"/>
      <c r="Y39" s="88"/>
      <c r="Z39" s="85"/>
      <c r="AA39" s="85"/>
      <c r="AB39" s="437"/>
      <c r="AC39" s="52"/>
      <c r="AD39" s="45"/>
    </row>
    <row r="40" spans="1:30" ht="47.25" customHeight="1">
      <c r="A40" s="39">
        <f>ROW()</f>
        <v>40</v>
      </c>
      <c r="B40" s="73" t="s">
        <v>252</v>
      </c>
      <c r="C40" s="74"/>
      <c r="D40" s="137">
        <f>D30+D37*'Monthly Fuel Cost Allocation'!$A$2</f>
        <v>6519375.509076073</v>
      </c>
      <c r="E40" s="29"/>
      <c r="F40" s="138">
        <f>+F30+F37*'Monthly Fuel Cost Allocation'!$A$2</f>
        <v>11562907748.129288</v>
      </c>
      <c r="G40" s="138"/>
      <c r="H40" s="138">
        <f>+H30+H37*'Monthly Fuel Cost Allocation'!$A$2</f>
        <v>10867603123.206745</v>
      </c>
      <c r="I40" s="89">
        <f>+I30+I37*'Monthly Fuel Cost Allocation'!$A$2</f>
        <v>438464737.7140485</v>
      </c>
      <c r="J40" s="90">
        <f>+J30+J37*'Monthly Fuel Cost Allocation'!$A$2</f>
        <v>29858635.400000002</v>
      </c>
      <c r="K40" s="91">
        <f>+K30+K37*'Monthly Fuel Cost Allocation'!$A$2</f>
        <v>16249058.340550847</v>
      </c>
      <c r="L40" s="91">
        <f>+L30+L37*'Monthly Fuel Cost Allocation'!$A$2</f>
        <v>8180734.259449158</v>
      </c>
      <c r="M40" s="91">
        <f>+M30+M37*'Monthly Fuel Cost Allocation'!$A$2</f>
        <v>24429792.6</v>
      </c>
      <c r="N40" s="91">
        <f>N52-N46</f>
        <v>54288428</v>
      </c>
      <c r="O40" s="90">
        <f>+O30+O37*'Monthly Fuel Cost Allocation'!$A$2</f>
        <v>32540014.653999995</v>
      </c>
      <c r="P40" s="91">
        <f>+P30+P37*'Monthly Fuel Cost Allocation'!$A$2</f>
        <v>9762004.3962</v>
      </c>
      <c r="Q40" s="91">
        <f>+Q30+Q37*'Monthly Fuel Cost Allocation'!$A$2</f>
        <v>4183716.1698</v>
      </c>
      <c r="R40" s="91">
        <f>+R30+R37*'Monthly Fuel Cost Allocation'!$A$2</f>
        <v>13945720.566</v>
      </c>
      <c r="S40" s="91">
        <f>+S52-S46</f>
        <v>46485735.22</v>
      </c>
      <c r="T40" s="92">
        <f>+T30+T37*'Monthly Fuel Cost Allocation'!$A$2</f>
        <v>539238900.9340485</v>
      </c>
      <c r="U40" s="122">
        <f>+U30+U37*'Monthly Fuel Cost Allocation'!$A$2</f>
        <v>-1591706</v>
      </c>
      <c r="V40" s="122">
        <f>+V30+V37*'Monthly Fuel Cost Allocation'!$A$2</f>
        <v>-2199999.9999999967</v>
      </c>
      <c r="W40" s="93">
        <f>+W30+W37*'Monthly Fuel Cost Allocation'!$A$2</f>
        <v>5148040.1215483295</v>
      </c>
      <c r="X40" s="94">
        <f>+X30+X37*'Monthly Fuel Cost Allocation'!$A$2</f>
        <v>540595235.0555968</v>
      </c>
      <c r="Y40" s="36"/>
      <c r="Z40" s="93"/>
      <c r="AA40" s="93">
        <f>+AA30+AA37*'Monthly Fuel Cost Allocation'!$A$2</f>
        <v>540595235.055597</v>
      </c>
      <c r="AB40" s="440">
        <f>+AA40/H40*100</f>
        <v>4.974374100036894</v>
      </c>
      <c r="AC40" s="52"/>
      <c r="AD40" s="45"/>
    </row>
    <row r="41" spans="1:30" ht="15">
      <c r="A41" s="39">
        <f>ROW()</f>
        <v>41</v>
      </c>
      <c r="B41" s="76"/>
      <c r="C41" s="74"/>
      <c r="D41" s="139"/>
      <c r="E41" s="29"/>
      <c r="F41" s="138"/>
      <c r="G41" s="140"/>
      <c r="H41" s="140"/>
      <c r="I41" s="20"/>
      <c r="J41" s="19"/>
      <c r="K41" s="20"/>
      <c r="L41" s="20"/>
      <c r="M41" s="20"/>
      <c r="N41" s="21"/>
      <c r="O41" s="19"/>
      <c r="P41" s="20"/>
      <c r="Q41" s="20"/>
      <c r="R41" s="20"/>
      <c r="S41" s="21"/>
      <c r="T41" s="20"/>
      <c r="U41" s="20"/>
      <c r="V41" s="20"/>
      <c r="W41" s="20"/>
      <c r="X41" s="21"/>
      <c r="Y41" s="20"/>
      <c r="Z41" s="75"/>
      <c r="AA41" s="62"/>
      <c r="AB41" s="441"/>
      <c r="AC41" s="52"/>
      <c r="AD41" s="45"/>
    </row>
    <row r="42" spans="1:30" ht="12" customHeight="1">
      <c r="A42" s="39">
        <f>ROW()</f>
        <v>42</v>
      </c>
      <c r="B42" s="76" t="s">
        <v>158</v>
      </c>
      <c r="C42" s="53"/>
      <c r="D42" s="133"/>
      <c r="E42" s="28"/>
      <c r="F42" s="98"/>
      <c r="G42" s="99"/>
      <c r="H42" s="99"/>
      <c r="I42" s="9"/>
      <c r="J42" s="8"/>
      <c r="K42" s="9"/>
      <c r="L42" s="9"/>
      <c r="M42" s="9"/>
      <c r="N42" s="10"/>
      <c r="O42" s="8"/>
      <c r="P42" s="9"/>
      <c r="Q42" s="9"/>
      <c r="R42" s="9"/>
      <c r="S42" s="10"/>
      <c r="T42" s="9"/>
      <c r="U42" s="9"/>
      <c r="V42" s="9"/>
      <c r="W42" s="9"/>
      <c r="X42" s="10"/>
      <c r="Y42" s="9"/>
      <c r="Z42" s="45"/>
      <c r="AA42" s="62"/>
      <c r="AB42" s="442"/>
      <c r="AC42" s="52"/>
      <c r="AD42" s="45"/>
    </row>
    <row r="43" spans="1:30" ht="15">
      <c r="A43" s="39">
        <f>ROW()</f>
        <v>43</v>
      </c>
      <c r="B43" s="59" t="s">
        <v>131</v>
      </c>
      <c r="C43" s="97">
        <v>1</v>
      </c>
      <c r="D43" s="133">
        <f>+'3CP &amp; Rate Base'!O14</f>
        <v>1575.909553872772</v>
      </c>
      <c r="E43" s="96"/>
      <c r="F43" s="98">
        <f>+'Monthly Energy Allocators'!N115</f>
        <v>9584174.408552837</v>
      </c>
      <c r="G43" s="99"/>
      <c r="H43" s="99">
        <f>+'Monthly Energy Allocators'!N23</f>
        <v>9325359.06</v>
      </c>
      <c r="I43" s="100">
        <f>+'Monthly Fuel Cost Allocation'!N19</f>
        <v>482304.6622890271</v>
      </c>
      <c r="J43" s="101"/>
      <c r="K43" s="100"/>
      <c r="L43" s="100"/>
      <c r="M43" s="100"/>
      <c r="N43" s="102">
        <f>+J43+K43+L43</f>
        <v>0</v>
      </c>
      <c r="O43" s="101"/>
      <c r="P43" s="100"/>
      <c r="Q43" s="100"/>
      <c r="R43" s="100"/>
      <c r="S43" s="102">
        <f>+O43+P43+Q43</f>
        <v>0</v>
      </c>
      <c r="T43" s="100">
        <f>+I43+N43+S43</f>
        <v>482304.6622890271</v>
      </c>
      <c r="U43" s="100">
        <v>0</v>
      </c>
      <c r="V43" s="100"/>
      <c r="W43" s="100"/>
      <c r="X43" s="102">
        <f>+T43+U43</f>
        <v>482304.6622890271</v>
      </c>
      <c r="Y43" s="100"/>
      <c r="Z43" s="28"/>
      <c r="AA43" s="103">
        <f>+X43</f>
        <v>482304.6622890271</v>
      </c>
      <c r="AB43" s="443"/>
      <c r="AC43" s="52"/>
      <c r="AD43" s="45"/>
    </row>
    <row r="44" spans="1:30" ht="15">
      <c r="A44" s="39">
        <f>ROW()</f>
        <v>44</v>
      </c>
      <c r="B44" s="59" t="s">
        <v>133</v>
      </c>
      <c r="C44" s="97">
        <v>1</v>
      </c>
      <c r="D44" s="133">
        <f>+'3CP &amp; Rate Base'!O15</f>
        <v>85713.6</v>
      </c>
      <c r="E44" s="96"/>
      <c r="F44" s="98">
        <f>+'Monthly Energy Allocators'!N116</f>
        <v>191421077.32167402</v>
      </c>
      <c r="G44" s="99"/>
      <c r="H44" s="99">
        <f>+'Monthly Energy Allocators'!N24</f>
        <v>189000000</v>
      </c>
      <c r="I44" s="100">
        <f>+'Monthly Fuel Cost Allocation'!N22</f>
        <v>111583.14514352845</v>
      </c>
      <c r="J44" s="101"/>
      <c r="K44" s="100"/>
      <c r="L44" s="100"/>
      <c r="M44" s="100"/>
      <c r="N44" s="102">
        <v>0</v>
      </c>
      <c r="O44" s="101"/>
      <c r="P44" s="100"/>
      <c r="Q44" s="100"/>
      <c r="R44" s="100"/>
      <c r="S44" s="102">
        <v>0</v>
      </c>
      <c r="T44" s="100">
        <f>+I44+N44+S44</f>
        <v>111583.14514352845</v>
      </c>
      <c r="U44" s="100">
        <v>0</v>
      </c>
      <c r="V44" s="100"/>
      <c r="W44" s="100"/>
      <c r="X44" s="102">
        <f>+T44+U44</f>
        <v>111583.14514352845</v>
      </c>
      <c r="Y44" s="100"/>
      <c r="Z44" s="28"/>
      <c r="AA44" s="103">
        <f>+X44</f>
        <v>111583.14514352845</v>
      </c>
      <c r="AB44" s="443"/>
      <c r="AC44" s="52"/>
      <c r="AD44" s="45"/>
    </row>
    <row r="45" spans="1:30" ht="15">
      <c r="A45" s="39">
        <f>ROW()</f>
        <v>45</v>
      </c>
      <c r="B45" s="52" t="s">
        <v>132</v>
      </c>
      <c r="C45" s="97"/>
      <c r="D45" s="135">
        <v>0</v>
      </c>
      <c r="E45" s="96"/>
      <c r="F45" s="129">
        <f>+'Monthly Energy Allocators'!N117</f>
        <v>55669533.029296264</v>
      </c>
      <c r="G45" s="104"/>
      <c r="H45" s="129">
        <f>+'Monthly Energy Allocators'!N25</f>
        <v>56571504</v>
      </c>
      <c r="I45" s="105">
        <f>+'Monthly Fuel Cost Allocation'!N26+'Monthly Fuel Cost Allocation'!N27</f>
        <v>2249761.710851238</v>
      </c>
      <c r="J45" s="106"/>
      <c r="K45" s="105"/>
      <c r="L45" s="105"/>
      <c r="M45" s="105"/>
      <c r="N45" s="102">
        <v>0</v>
      </c>
      <c r="O45" s="106"/>
      <c r="P45" s="105"/>
      <c r="Q45" s="105"/>
      <c r="R45" s="105"/>
      <c r="S45" s="102">
        <v>0</v>
      </c>
      <c r="T45" s="105">
        <f>+I45+N45+S45</f>
        <v>2249761.710851238</v>
      </c>
      <c r="U45" s="105">
        <v>0</v>
      </c>
      <c r="V45" s="105"/>
      <c r="W45" s="105"/>
      <c r="X45" s="107">
        <f>+T45+U45</f>
        <v>2249761.710851238</v>
      </c>
      <c r="Y45" s="105"/>
      <c r="Z45" s="108"/>
      <c r="AA45" s="109">
        <f>+X45</f>
        <v>2249761.710851238</v>
      </c>
      <c r="AB45" s="443"/>
      <c r="AC45" s="52"/>
      <c r="AD45" s="45"/>
    </row>
    <row r="46" spans="1:30" ht="15">
      <c r="A46" s="39">
        <f>ROW()</f>
        <v>46</v>
      </c>
      <c r="B46" s="46" t="s">
        <v>160</v>
      </c>
      <c r="C46" s="97"/>
      <c r="D46" s="133">
        <f>SUM(D43:D45)</f>
        <v>87289.50955387278</v>
      </c>
      <c r="E46" s="96"/>
      <c r="F46" s="98">
        <f>SUM(F43:F45)</f>
        <v>256674784.7595231</v>
      </c>
      <c r="G46" s="98"/>
      <c r="H46" s="98">
        <f>SUM(H43:H45)</f>
        <v>254896863.06</v>
      </c>
      <c r="I46" s="100">
        <f>SUM(I43:I45)</f>
        <v>2843649.5182837937</v>
      </c>
      <c r="J46" s="101">
        <f>SUM(J43:J45)</f>
        <v>0</v>
      </c>
      <c r="K46" s="100">
        <f>SUM(K43:K45)</f>
        <v>0</v>
      </c>
      <c r="L46" s="100">
        <f>SUM(L43:L45)</f>
        <v>0</v>
      </c>
      <c r="M46" s="100"/>
      <c r="N46" s="102">
        <f>SUM(N43:N45)</f>
        <v>0</v>
      </c>
      <c r="O46" s="101">
        <f>SUM(O43:O45)</f>
        <v>0</v>
      </c>
      <c r="P46" s="100">
        <f>SUM(P43:P45)</f>
        <v>0</v>
      </c>
      <c r="Q46" s="100">
        <f>SUM(Q43:Q45)</f>
        <v>0</v>
      </c>
      <c r="R46" s="100"/>
      <c r="S46" s="102">
        <f>SUM(S43:S45)</f>
        <v>0</v>
      </c>
      <c r="T46" s="100">
        <f>SUM(T43:T45)</f>
        <v>2843649.5182837937</v>
      </c>
      <c r="U46" s="100">
        <f>SUM(U43:U45)</f>
        <v>0</v>
      </c>
      <c r="V46" s="100"/>
      <c r="W46" s="100"/>
      <c r="X46" s="102">
        <f>SUM(X43:X45)</f>
        <v>2843649.5182837937</v>
      </c>
      <c r="Y46" s="100"/>
      <c r="Z46" s="28"/>
      <c r="AA46" s="103">
        <f>+X46</f>
        <v>2843649.5182837937</v>
      </c>
      <c r="AB46" s="443"/>
      <c r="AC46" s="52"/>
      <c r="AD46" s="45"/>
    </row>
    <row r="47" spans="1:30" ht="10.5" customHeight="1">
      <c r="A47" s="39">
        <f>ROW()</f>
        <v>47</v>
      </c>
      <c r="B47" s="46"/>
      <c r="C47" s="97"/>
      <c r="D47" s="133"/>
      <c r="E47" s="96"/>
      <c r="F47" s="98"/>
      <c r="G47" s="99"/>
      <c r="H47" s="99"/>
      <c r="I47" s="100"/>
      <c r="J47" s="101"/>
      <c r="K47" s="100"/>
      <c r="L47" s="100"/>
      <c r="M47" s="100"/>
      <c r="N47" s="102"/>
      <c r="O47" s="101"/>
      <c r="P47" s="100"/>
      <c r="Q47" s="100"/>
      <c r="R47" s="100"/>
      <c r="S47" s="102"/>
      <c r="T47" s="100"/>
      <c r="U47" s="100"/>
      <c r="V47" s="100"/>
      <c r="W47" s="100"/>
      <c r="X47" s="102"/>
      <c r="Y47" s="100"/>
      <c r="Z47" s="28"/>
      <c r="AA47" s="103"/>
      <c r="AB47" s="444"/>
      <c r="AC47" s="52"/>
      <c r="AD47" s="45"/>
    </row>
    <row r="48" spans="1:30" ht="12.75">
      <c r="A48" s="39">
        <f>ROW()</f>
        <v>48</v>
      </c>
      <c r="B48" s="59" t="s">
        <v>97</v>
      </c>
      <c r="C48" s="97">
        <v>1</v>
      </c>
      <c r="D48" s="133">
        <v>0</v>
      </c>
      <c r="E48" s="96"/>
      <c r="F48" s="98">
        <f>+'Monthly Energy Allocators'!N122</f>
        <v>26486000</v>
      </c>
      <c r="G48" s="99"/>
      <c r="H48" s="99">
        <f>+'Monthly Energy Allocators'!N30</f>
        <v>25644000</v>
      </c>
      <c r="I48" s="100"/>
      <c r="J48" s="101"/>
      <c r="K48" s="100"/>
      <c r="L48" s="100"/>
      <c r="M48" s="100"/>
      <c r="N48" s="102"/>
      <c r="O48" s="101"/>
      <c r="P48" s="100"/>
      <c r="Q48" s="100"/>
      <c r="R48" s="100"/>
      <c r="S48" s="102"/>
      <c r="T48" s="100"/>
      <c r="U48" s="100"/>
      <c r="V48" s="100"/>
      <c r="W48" s="100"/>
      <c r="X48" s="102"/>
      <c r="Y48" s="100"/>
      <c r="Z48" s="110"/>
      <c r="AA48" s="111"/>
      <c r="AB48" s="444"/>
      <c r="AC48" s="52"/>
      <c r="AD48" s="45"/>
    </row>
    <row r="49" spans="1:30" ht="12" customHeight="1">
      <c r="A49" s="39">
        <f>ROW()</f>
        <v>49</v>
      </c>
      <c r="B49" s="59"/>
      <c r="C49" s="97"/>
      <c r="D49" s="133"/>
      <c r="E49" s="96"/>
      <c r="F49" s="129"/>
      <c r="G49" s="104"/>
      <c r="H49" s="104"/>
      <c r="I49" s="112"/>
      <c r="J49" s="113"/>
      <c r="K49" s="112"/>
      <c r="L49" s="112"/>
      <c r="M49" s="112"/>
      <c r="N49" s="107"/>
      <c r="O49" s="113"/>
      <c r="P49" s="112"/>
      <c r="Q49" s="112"/>
      <c r="R49" s="112"/>
      <c r="S49" s="107"/>
      <c r="T49" s="112"/>
      <c r="U49" s="112"/>
      <c r="V49" s="112"/>
      <c r="W49" s="112"/>
      <c r="X49" s="107"/>
      <c r="Y49" s="100"/>
      <c r="Z49" s="28"/>
      <c r="AA49" s="103"/>
      <c r="AB49" s="444"/>
      <c r="AC49" s="52"/>
      <c r="AD49" s="45"/>
    </row>
    <row r="50" spans="1:30" ht="12.75">
      <c r="A50" s="39">
        <f>ROW()</f>
        <v>50</v>
      </c>
      <c r="B50" s="73" t="s">
        <v>159</v>
      </c>
      <c r="C50" s="97"/>
      <c r="D50" s="133">
        <f>+D46</f>
        <v>87289.50955387278</v>
      </c>
      <c r="E50" s="96"/>
      <c r="F50" s="98">
        <f>+F46+F48</f>
        <v>283160784.7595231</v>
      </c>
      <c r="G50" s="98"/>
      <c r="H50" s="98">
        <f>+H46+H48</f>
        <v>280540863.06</v>
      </c>
      <c r="I50" s="28"/>
      <c r="J50" s="37"/>
      <c r="K50" s="28"/>
      <c r="L50" s="28"/>
      <c r="M50" s="28"/>
      <c r="N50" s="30"/>
      <c r="O50" s="37"/>
      <c r="P50" s="28"/>
      <c r="Q50" s="28"/>
      <c r="R50" s="28"/>
      <c r="S50" s="30"/>
      <c r="T50" s="28"/>
      <c r="U50" s="28"/>
      <c r="V50" s="28"/>
      <c r="W50" s="28"/>
      <c r="X50" s="107"/>
      <c r="Y50" s="100"/>
      <c r="Z50" s="28"/>
      <c r="AA50" s="103"/>
      <c r="AB50" s="444"/>
      <c r="AC50" s="52"/>
      <c r="AD50" s="45"/>
    </row>
    <row r="51" spans="1:30" ht="8.25" customHeight="1">
      <c r="A51" s="39">
        <f>ROW()</f>
        <v>51</v>
      </c>
      <c r="B51" s="59"/>
      <c r="C51" s="97"/>
      <c r="D51" s="133"/>
      <c r="E51" s="96"/>
      <c r="F51" s="98"/>
      <c r="G51" s="99"/>
      <c r="H51" s="99"/>
      <c r="I51" s="100"/>
      <c r="J51" s="101"/>
      <c r="K51" s="100"/>
      <c r="L51" s="100"/>
      <c r="M51" s="100"/>
      <c r="N51" s="102"/>
      <c r="O51" s="101"/>
      <c r="P51" s="100"/>
      <c r="Q51" s="100"/>
      <c r="R51" s="100"/>
      <c r="S51" s="102"/>
      <c r="T51" s="100"/>
      <c r="U51" s="100"/>
      <c r="V51" s="100"/>
      <c r="W51" s="100"/>
      <c r="X51" s="102"/>
      <c r="Y51" s="100"/>
      <c r="Z51" s="28"/>
      <c r="AA51" s="103"/>
      <c r="AB51" s="444"/>
      <c r="AC51" s="52"/>
      <c r="AD51" s="45"/>
    </row>
    <row r="52" spans="1:30" ht="17.25">
      <c r="A52" s="39">
        <f>ROW()</f>
        <v>52</v>
      </c>
      <c r="B52" s="59" t="s">
        <v>29</v>
      </c>
      <c r="C52" s="97"/>
      <c r="D52" s="138">
        <f>+D30+D37+D50</f>
        <v>6649521.818629946</v>
      </c>
      <c r="E52" s="96"/>
      <c r="F52" s="138">
        <f>+F30+F37+F50</f>
        <v>12027290266.744377</v>
      </c>
      <c r="G52" s="114"/>
      <c r="H52" s="138">
        <f>+H30+H37+H50</f>
        <v>11327021986.266745</v>
      </c>
      <c r="I52" s="115">
        <f>+I30+I37+I46</f>
        <v>451550941.5123323</v>
      </c>
      <c r="J52" s="116">
        <f>+J30+J37+J46</f>
        <v>29858635.400000002</v>
      </c>
      <c r="K52" s="115">
        <f>+K30+K37+K46</f>
        <v>16249058.340550847</v>
      </c>
      <c r="L52" s="115">
        <f>+L30+L37+L46</f>
        <v>8180734.259449158</v>
      </c>
      <c r="M52" s="115"/>
      <c r="N52" s="117">
        <f>+'Monthly Fuel Cost Allocation'!N8</f>
        <v>54288428</v>
      </c>
      <c r="O52" s="116">
        <f>+O30+O37+O46</f>
        <v>32540014.653999995</v>
      </c>
      <c r="P52" s="115">
        <f>+P30+P37+P46</f>
        <v>9762004.3962</v>
      </c>
      <c r="Q52" s="115">
        <f>+Q30+Q37+Q46</f>
        <v>4183716.1698</v>
      </c>
      <c r="R52" s="115"/>
      <c r="S52" s="117">
        <f>+'Monthly Fuel Cost Allocation'!N9</f>
        <v>46485735.22</v>
      </c>
      <c r="T52" s="118">
        <f>+T30+T37+T46</f>
        <v>552325104.7323323</v>
      </c>
      <c r="U52" s="125">
        <f>+U30+U37+U46</f>
        <v>-1591706</v>
      </c>
      <c r="V52" s="125">
        <f>+V30+V37+V46</f>
        <v>-2199999.9999999967</v>
      </c>
      <c r="W52" s="115">
        <f>+W30+W37+W46</f>
        <v>5148040.1215483295</v>
      </c>
      <c r="X52" s="117">
        <f>+X30+X37+X46</f>
        <v>553681438.8538806</v>
      </c>
      <c r="Y52" s="100"/>
      <c r="Z52" s="28"/>
      <c r="AA52" s="119">
        <f>+AA30+AA37+AA46</f>
        <v>553681438.8538808</v>
      </c>
      <c r="AB52" s="445">
        <f>+AA52/H52*100</f>
        <v>4.888146588972657</v>
      </c>
      <c r="AC52" s="52"/>
      <c r="AD52" s="45"/>
    </row>
    <row r="53" spans="1:30" ht="7.5" customHeight="1">
      <c r="A53" s="39">
        <f>ROW()</f>
        <v>53</v>
      </c>
      <c r="B53" s="59"/>
      <c r="C53" s="68"/>
      <c r="D53" s="133"/>
      <c r="E53" s="96"/>
      <c r="F53" s="141"/>
      <c r="G53" s="114"/>
      <c r="H53" s="114"/>
      <c r="I53" s="17"/>
      <c r="J53" s="22"/>
      <c r="K53" s="23"/>
      <c r="L53" s="23"/>
      <c r="M53" s="23"/>
      <c r="N53" s="24"/>
      <c r="O53" s="22"/>
      <c r="P53" s="23"/>
      <c r="Q53" s="23"/>
      <c r="R53" s="23"/>
      <c r="S53" s="24"/>
      <c r="T53" s="17"/>
      <c r="U53" s="17"/>
      <c r="V53" s="17"/>
      <c r="W53" s="17"/>
      <c r="X53" s="18"/>
      <c r="Y53" s="9"/>
      <c r="Z53" s="45"/>
      <c r="AA53" s="62"/>
      <c r="AB53" s="442"/>
      <c r="AC53" s="52"/>
      <c r="AD53" s="45"/>
    </row>
    <row r="54" spans="1:30" ht="3.75" customHeight="1" thickBot="1">
      <c r="A54" s="39">
        <f>ROW()</f>
        <v>54</v>
      </c>
      <c r="B54" s="77"/>
      <c r="C54" s="78"/>
      <c r="D54" s="120"/>
      <c r="E54" s="79"/>
      <c r="F54" s="79"/>
      <c r="G54" s="79"/>
      <c r="H54" s="79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79"/>
      <c r="Y54" s="80"/>
      <c r="Z54" s="80"/>
      <c r="AA54" s="80"/>
      <c r="AB54" s="81"/>
      <c r="AC54" s="81"/>
      <c r="AD54" s="45"/>
    </row>
    <row r="55" spans="1:30" ht="12" customHeight="1" hidden="1" thickTop="1">
      <c r="A55" s="39">
        <f>ROW()</f>
        <v>55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1:30" ht="13.5" hidden="1" thickTop="1">
      <c r="A56" s="39">
        <f>ROW()</f>
        <v>56</v>
      </c>
      <c r="B56" s="33" t="s">
        <v>90</v>
      </c>
      <c r="C56" s="33"/>
      <c r="D56" s="34">
        <f>+D37+D46</f>
        <v>130146.30955387278</v>
      </c>
      <c r="E56" s="33"/>
      <c r="F56" s="34">
        <f>+F37+F46</f>
        <v>437896518.6150898</v>
      </c>
      <c r="G56" s="34"/>
      <c r="H56" s="34">
        <f aca="true" t="shared" si="22" ref="H56:U56">+H37+H46</f>
        <v>433774863.06</v>
      </c>
      <c r="I56" s="82">
        <f t="shared" si="22"/>
        <v>13086203.798283797</v>
      </c>
      <c r="J56" s="82">
        <f t="shared" si="22"/>
        <v>0</v>
      </c>
      <c r="K56" s="82">
        <f t="shared" si="22"/>
        <v>0</v>
      </c>
      <c r="L56" s="82">
        <f t="shared" si="22"/>
        <v>0</v>
      </c>
      <c r="M56" s="82">
        <f t="shared" si="22"/>
        <v>0</v>
      </c>
      <c r="N56" s="82">
        <f t="shared" si="22"/>
        <v>0</v>
      </c>
      <c r="O56" s="82">
        <f t="shared" si="22"/>
        <v>0</v>
      </c>
      <c r="P56" s="82">
        <f t="shared" si="22"/>
        <v>0</v>
      </c>
      <c r="Q56" s="82">
        <f t="shared" si="22"/>
        <v>0</v>
      </c>
      <c r="R56" s="82">
        <f t="shared" si="22"/>
        <v>0</v>
      </c>
      <c r="S56" s="82">
        <f t="shared" si="22"/>
        <v>0</v>
      </c>
      <c r="T56" s="82">
        <f t="shared" si="22"/>
        <v>13086203.798283797</v>
      </c>
      <c r="U56" s="82">
        <f t="shared" si="22"/>
        <v>0</v>
      </c>
      <c r="V56" s="82"/>
      <c r="W56" s="82"/>
      <c r="X56" s="82">
        <f>+T56+U56</f>
        <v>13086203.798283797</v>
      </c>
      <c r="Y56" s="82"/>
      <c r="Z56" s="82"/>
      <c r="AA56" s="82">
        <f>+AA37+AA46</f>
        <v>13086203.798283797</v>
      </c>
      <c r="AB56" s="33"/>
      <c r="AC56" s="33"/>
      <c r="AD56" s="33"/>
    </row>
    <row r="57" spans="1:30" ht="13.5" hidden="1" thickTop="1">
      <c r="A57" s="39">
        <f>ROW()</f>
        <v>57</v>
      </c>
      <c r="B57" s="33"/>
      <c r="C57" s="33"/>
      <c r="D57" s="33"/>
      <c r="E57" s="33"/>
      <c r="F57" s="33"/>
      <c r="G57" s="33"/>
      <c r="H57" s="33"/>
      <c r="I57" s="82"/>
      <c r="J57" s="33"/>
      <c r="K57" s="33"/>
      <c r="L57" s="33"/>
      <c r="M57" s="33"/>
      <c r="N57" s="82"/>
      <c r="O57" s="82"/>
      <c r="P57" s="82"/>
      <c r="Q57" s="82"/>
      <c r="R57" s="82"/>
      <c r="S57" s="82"/>
      <c r="T57" s="82"/>
      <c r="U57" s="33"/>
      <c r="V57" s="33"/>
      <c r="W57" s="33"/>
      <c r="X57" s="82"/>
      <c r="Y57" s="33"/>
      <c r="Z57" s="33"/>
      <c r="AA57" s="33"/>
      <c r="AB57" s="33"/>
      <c r="AC57" s="33"/>
      <c r="AD57" s="33"/>
    </row>
    <row r="58" spans="1:30" ht="13.5" hidden="1" thickTop="1">
      <c r="A58" s="39">
        <f>ROW()</f>
        <v>58</v>
      </c>
      <c r="B58" s="33" t="s">
        <v>100</v>
      </c>
      <c r="C58" s="33"/>
      <c r="D58" s="33"/>
      <c r="E58" s="33"/>
      <c r="F58" s="35">
        <f>+F35+F44</f>
        <v>372642811.1772407</v>
      </c>
      <c r="G58" s="35"/>
      <c r="H58" s="35">
        <f>+H35+H44</f>
        <v>367878000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82">
        <f>+S52+N52</f>
        <v>100774163.22</v>
      </c>
      <c r="T58" s="82"/>
      <c r="U58" s="33"/>
      <c r="V58" s="33"/>
      <c r="W58" s="33"/>
      <c r="X58" s="82"/>
      <c r="Y58" s="33"/>
      <c r="Z58" s="33"/>
      <c r="AA58" s="33"/>
      <c r="AB58" s="33"/>
      <c r="AC58" s="33"/>
      <c r="AD58" s="33"/>
    </row>
    <row r="59" spans="1:30" ht="13.5" hidden="1" thickTop="1">
      <c r="A59" s="39">
        <f>ROW()</f>
        <v>59</v>
      </c>
      <c r="B59" s="33" t="s">
        <v>101</v>
      </c>
      <c r="C59" s="33"/>
      <c r="D59" s="35">
        <f>+D52-D48</f>
        <v>6649521.818629946</v>
      </c>
      <c r="E59" s="33"/>
      <c r="F59" s="35">
        <f>+F52-F48</f>
        <v>12000804266.744377</v>
      </c>
      <c r="G59" s="33"/>
      <c r="H59" s="35">
        <f>+H52-H48</f>
        <v>11301377986.266745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ht="13.5" thickTop="1">
      <c r="A60" s="3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ht="15.75">
      <c r="A61" s="39"/>
      <c r="B61" s="42" t="s">
        <v>193</v>
      </c>
      <c r="C61" s="33"/>
      <c r="D61" s="33"/>
      <c r="E61" s="33"/>
      <c r="F61" s="38"/>
      <c r="G61" s="33"/>
      <c r="H61" s="35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82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ht="15">
      <c r="A62" s="39"/>
      <c r="B62" s="121"/>
      <c r="C62" s="33"/>
      <c r="D62" s="33"/>
      <c r="E62" s="33"/>
      <c r="F62" s="35"/>
      <c r="G62" s="33"/>
      <c r="H62" s="35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15">
      <c r="A63" s="39"/>
      <c r="B63" s="219" t="s">
        <v>317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82"/>
      <c r="W63" s="33"/>
      <c r="X63" s="33"/>
      <c r="Y63" s="33"/>
      <c r="Z63" s="33"/>
      <c r="AA63" s="33"/>
      <c r="AB63" s="33"/>
      <c r="AC63" s="33"/>
      <c r="AD63" s="33"/>
    </row>
    <row r="64" spans="1:30" ht="15">
      <c r="A64" s="39"/>
      <c r="B64" s="121" t="s">
        <v>199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ht="12.75">
      <c r="A65" s="39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ht="12.75">
      <c r="A66" s="3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ht="12.75">
      <c r="A67" s="3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ht="12.75">
      <c r="A68" s="3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ht="12.75">
      <c r="A69" s="3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ht="12.75">
      <c r="A70" s="3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ht="12.75">
      <c r="A71" s="3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ht="12.75">
      <c r="A72" s="3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ht="12.75">
      <c r="A73" s="3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ht="12.75">
      <c r="A74" s="3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ht="12.75">
      <c r="A75" s="3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ht="12.75">
      <c r="A76" s="3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ht="12.75">
      <c r="A77" s="3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ht="12.75">
      <c r="A78" s="3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ht="12.75">
      <c r="A79" s="3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ht="12.75">
      <c r="A80" s="3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ht="12.75">
      <c r="A81" s="3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ht="12.75">
      <c r="A82" s="3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ht="12.75">
      <c r="A83" s="3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ht="12.75">
      <c r="A84" s="3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ht="12.75">
      <c r="A85" s="3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ht="12.75">
      <c r="A86" s="3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ht="12.75">
      <c r="A87" s="3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ht="12.75">
      <c r="A88" s="3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ht="12.75">
      <c r="A89" s="3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ht="12.75">
      <c r="A90" s="3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ht="12.75">
      <c r="A91" s="39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ht="12.75">
      <c r="A92" s="3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ht="12.75">
      <c r="A93" s="3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ht="12.75">
      <c r="A94" s="3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ht="12.75">
      <c r="A95" s="3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ht="12.75">
      <c r="A96" s="3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ht="12.75">
      <c r="A97" s="39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ht="12.75">
      <c r="A98" s="3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ht="12.75">
      <c r="A99" s="39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ht="12.75">
      <c r="A100" s="3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ht="12.75">
      <c r="A101" s="39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ht="12.75">
      <c r="A102" s="3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ht="12.75">
      <c r="A103" s="3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ht="12.75">
      <c r="A104" s="3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ht="12.75">
      <c r="A105" s="39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ht="12.75">
      <c r="A106" s="3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ht="12.75">
      <c r="A107" s="3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ht="12.75">
      <c r="A108" s="3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ht="12.75">
      <c r="A109" s="3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ht="12.75">
      <c r="A110" s="3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ht="12.75">
      <c r="A111" s="3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ht="12.75">
      <c r="A112" s="3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</sheetData>
  <sheetProtection/>
  <mergeCells count="29">
    <mergeCell ref="Y11:AB11"/>
    <mergeCell ref="J12:N12"/>
    <mergeCell ref="Z12:Z14"/>
    <mergeCell ref="AA12:AA14"/>
    <mergeCell ref="X12:X14"/>
    <mergeCell ref="Y12:Y14"/>
    <mergeCell ref="T12:T14"/>
    <mergeCell ref="U12:U14"/>
    <mergeCell ref="AB12:AB14"/>
    <mergeCell ref="O12:S12"/>
    <mergeCell ref="C12:C14"/>
    <mergeCell ref="H12:H14"/>
    <mergeCell ref="I11:X11"/>
    <mergeCell ref="N13:N14"/>
    <mergeCell ref="D12:E12"/>
    <mergeCell ref="D13:D14"/>
    <mergeCell ref="E13:E14"/>
    <mergeCell ref="F12:G12"/>
    <mergeCell ref="I12:I14"/>
    <mergeCell ref="C2:AB2"/>
    <mergeCell ref="C4:AB4"/>
    <mergeCell ref="O13:O14"/>
    <mergeCell ref="P13:R13"/>
    <mergeCell ref="S13:S14"/>
    <mergeCell ref="F13:F14"/>
    <mergeCell ref="G13:G14"/>
    <mergeCell ref="J13:J14"/>
    <mergeCell ref="K13:M13"/>
    <mergeCell ref="C11:H11"/>
  </mergeCells>
  <printOptions/>
  <pageMargins left="0.2" right="0.2" top="0.27" bottom="0.41" header="0.17" footer="0.2"/>
  <pageSetup horizontalDpi="600" verticalDpi="600" orientation="landscape" paperSize="17" scale="42" r:id="rId1"/>
  <headerFooter alignWithMargins="0">
    <oddFooter>&amp;CPage &amp;P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83"/>
  <sheetViews>
    <sheetView view="pageBreakPreview" zoomScale="60" zoomScalePageLayoutView="0" workbookViewId="0" topLeftCell="A1">
      <pane xSplit="1" ySplit="6" topLeftCell="B34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A31" sqref="A31"/>
    </sheetView>
  </sheetViews>
  <sheetFormatPr defaultColWidth="9.140625" defaultRowHeight="12.75"/>
  <cols>
    <col min="1" max="1" width="41.57421875" style="228" bestFit="1" customWidth="1"/>
    <col min="2" max="2" width="16.28125" style="228" bestFit="1" customWidth="1"/>
    <col min="3" max="4" width="16.8515625" style="228" bestFit="1" customWidth="1"/>
    <col min="5" max="5" width="15.57421875" style="228" bestFit="1" customWidth="1"/>
    <col min="6" max="6" width="17.00390625" style="228" bestFit="1" customWidth="1"/>
    <col min="7" max="8" width="16.57421875" style="228" bestFit="1" customWidth="1"/>
    <col min="9" max="9" width="15.8515625" style="228" bestFit="1" customWidth="1"/>
    <col min="10" max="11" width="16.28125" style="228" bestFit="1" customWidth="1"/>
    <col min="12" max="12" width="16.57421875" style="228" bestFit="1" customWidth="1"/>
    <col min="13" max="13" width="17.00390625" style="228" bestFit="1" customWidth="1"/>
    <col min="14" max="14" width="19.00390625" style="228" bestFit="1" customWidth="1"/>
    <col min="15" max="15" width="12.140625" style="228" bestFit="1" customWidth="1"/>
    <col min="16" max="17" width="14.140625" style="228" customWidth="1"/>
    <col min="18" max="16384" width="9.140625" style="228" customWidth="1"/>
  </cols>
  <sheetData>
    <row r="1" ht="12.75">
      <c r="A1" s="229" t="s">
        <v>251</v>
      </c>
    </row>
    <row r="2" ht="12.75">
      <c r="A2" s="245">
        <v>0</v>
      </c>
    </row>
    <row r="3" ht="12.75">
      <c r="A3" s="246" t="s">
        <v>188</v>
      </c>
    </row>
    <row r="4" ht="12.75">
      <c r="A4" s="247">
        <v>1.0137300658434074</v>
      </c>
    </row>
    <row r="5" spans="1:15" ht="12.75">
      <c r="A5" s="246" t="s">
        <v>189</v>
      </c>
      <c r="O5" s="248"/>
    </row>
    <row r="6" spans="1:24" ht="12.75">
      <c r="A6" s="249">
        <f>'BCF Allocation'!AB26-'BCF Allocation'!AB37</f>
        <v>-1.026686369558922</v>
      </c>
      <c r="B6" s="250">
        <v>40544</v>
      </c>
      <c r="C6" s="250">
        <v>40575</v>
      </c>
      <c r="D6" s="250">
        <v>40603</v>
      </c>
      <c r="E6" s="250">
        <v>40634</v>
      </c>
      <c r="F6" s="250">
        <v>40664</v>
      </c>
      <c r="G6" s="250">
        <v>40695</v>
      </c>
      <c r="H6" s="250">
        <v>40725</v>
      </c>
      <c r="I6" s="250">
        <v>40756</v>
      </c>
      <c r="J6" s="250">
        <v>40787</v>
      </c>
      <c r="K6" s="250">
        <v>40817</v>
      </c>
      <c r="L6" s="250">
        <v>40848</v>
      </c>
      <c r="M6" s="250">
        <v>40878</v>
      </c>
      <c r="N6" s="248" t="s">
        <v>44</v>
      </c>
      <c r="O6" s="248"/>
      <c r="P6" s="248"/>
      <c r="Q6" s="248"/>
      <c r="R6" s="251"/>
      <c r="S6" s="252"/>
      <c r="T6" s="252"/>
      <c r="U6" s="252"/>
      <c r="V6" s="252"/>
      <c r="W6" s="252"/>
      <c r="X6" s="252"/>
    </row>
    <row r="7" spans="1:24" ht="12.75">
      <c r="A7" s="253" t="s">
        <v>174</v>
      </c>
      <c r="B7" s="254">
        <f>+'Data Inputs - 2011'!C4</f>
        <v>65446927.2</v>
      </c>
      <c r="C7" s="254">
        <f>+'Data Inputs - 2011'!D4</f>
        <v>55406557.2</v>
      </c>
      <c r="D7" s="254">
        <f>+'Data Inputs - 2011'!E4</f>
        <v>48531144.99999999</v>
      </c>
      <c r="E7" s="254">
        <f>+'Data Inputs - 2011'!F4</f>
        <v>44174995.300000004</v>
      </c>
      <c r="F7" s="254">
        <f>+'Data Inputs - 2011'!G4</f>
        <v>39583691.5</v>
      </c>
      <c r="G7" s="254">
        <f>+'Data Inputs - 2011'!H4</f>
        <v>42628139.800000004</v>
      </c>
      <c r="H7" s="254">
        <f>+'Data Inputs - 2011'!I4</f>
        <v>42911403.4</v>
      </c>
      <c r="I7" s="254">
        <f>+'Data Inputs - 2011'!J4</f>
        <v>45275849.99398545</v>
      </c>
      <c r="J7" s="254">
        <f>+'Data Inputs - 2011'!K4</f>
        <v>37619132.931146376</v>
      </c>
      <c r="K7" s="254">
        <f>+'Data Inputs - 2011'!L4</f>
        <v>39900147.800000004</v>
      </c>
      <c r="L7" s="254">
        <f>+'Data Inputs - 2011'!M4</f>
        <v>41935536.08641198</v>
      </c>
      <c r="M7" s="254">
        <f>+'Data Inputs - 2011'!N4</f>
        <v>48911578.52078851</v>
      </c>
      <c r="N7" s="255">
        <f>SUM(B7:M7)</f>
        <v>552325104.7323323</v>
      </c>
      <c r="O7" s="255"/>
      <c r="P7" s="255"/>
      <c r="Q7" s="255"/>
      <c r="R7" s="251"/>
      <c r="S7" s="252"/>
      <c r="T7" s="252"/>
      <c r="U7" s="252"/>
      <c r="V7" s="252"/>
      <c r="W7" s="252"/>
      <c r="X7" s="252"/>
    </row>
    <row r="8" spans="1:24" ht="12.75">
      <c r="A8" s="253" t="s">
        <v>102</v>
      </c>
      <c r="B8" s="254">
        <f>+'Data Inputs - 2011'!C5</f>
        <v>8302348</v>
      </c>
      <c r="C8" s="254">
        <f>+'Data Inputs - 2011'!D5</f>
        <v>4307533</v>
      </c>
      <c r="D8" s="254">
        <f>+'Data Inputs - 2011'!E5</f>
        <v>1948549</v>
      </c>
      <c r="E8" s="254">
        <f>+'Data Inputs - 2011'!F5</f>
        <v>5342028</v>
      </c>
      <c r="F8" s="254">
        <f>+'Data Inputs - 2011'!G5</f>
        <v>5724746</v>
      </c>
      <c r="G8" s="254">
        <f>+'Data Inputs - 2011'!H5</f>
        <v>3570261</v>
      </c>
      <c r="H8" s="254">
        <f>+'Data Inputs - 2011'!I5</f>
        <v>2978014</v>
      </c>
      <c r="I8" s="254">
        <f>+'Data Inputs - 2011'!J5</f>
        <v>3471935</v>
      </c>
      <c r="J8" s="254">
        <f>+'Data Inputs - 2011'!K5</f>
        <v>5770896</v>
      </c>
      <c r="K8" s="254">
        <f>+'Data Inputs - 2011'!L5</f>
        <v>2455576</v>
      </c>
      <c r="L8" s="254">
        <f>+'Data Inputs - 2011'!M5</f>
        <v>4318545</v>
      </c>
      <c r="M8" s="254">
        <f>+'Data Inputs - 2011'!N5</f>
        <v>6097997</v>
      </c>
      <c r="N8" s="255">
        <f>SUM(B8:M8)</f>
        <v>54288428</v>
      </c>
      <c r="O8" s="255"/>
      <c r="P8" s="255"/>
      <c r="Q8" s="255"/>
      <c r="R8" s="251"/>
      <c r="S8" s="252"/>
      <c r="T8" s="252"/>
      <c r="U8" s="252"/>
      <c r="V8" s="252"/>
      <c r="W8" s="252"/>
      <c r="X8" s="252"/>
    </row>
    <row r="9" spans="1:24" ht="12.75">
      <c r="A9" s="253" t="s">
        <v>103</v>
      </c>
      <c r="B9" s="256">
        <f>+'Data Inputs - 2011'!C6</f>
        <v>2912068.2</v>
      </c>
      <c r="C9" s="256">
        <f>+'Data Inputs - 2011'!D6</f>
        <v>3137513.2</v>
      </c>
      <c r="D9" s="256">
        <f>+'Data Inputs - 2011'!E6</f>
        <v>4356541</v>
      </c>
      <c r="E9" s="256">
        <f>+'Data Inputs - 2011'!F6</f>
        <v>5620939.3</v>
      </c>
      <c r="F9" s="256">
        <f>+'Data Inputs - 2011'!G6</f>
        <v>3141181.5</v>
      </c>
      <c r="G9" s="256">
        <f>+'Data Inputs - 2011'!H6</f>
        <v>3463999.8</v>
      </c>
      <c r="H9" s="256">
        <f>+'Data Inputs - 2011'!I6</f>
        <v>3606964.4</v>
      </c>
      <c r="I9" s="256">
        <f>+'Data Inputs - 2011'!J6</f>
        <v>3131338</v>
      </c>
      <c r="J9" s="256">
        <f>+'Data Inputs - 2011'!K6</f>
        <v>2500936.93</v>
      </c>
      <c r="K9" s="256">
        <f>+'Data Inputs - 2011'!L6</f>
        <v>4951746.8</v>
      </c>
      <c r="L9" s="256">
        <f>+'Data Inputs - 2011'!M6</f>
        <v>4578689.09</v>
      </c>
      <c r="M9" s="256">
        <f>+'Data Inputs - 2011'!N6</f>
        <v>5083817</v>
      </c>
      <c r="N9" s="257">
        <f>SUM(B9:M9)</f>
        <v>46485735.22</v>
      </c>
      <c r="O9" s="255"/>
      <c r="P9" s="255"/>
      <c r="Q9" s="255"/>
      <c r="R9" s="251"/>
      <c r="S9" s="252"/>
      <c r="T9" s="252"/>
      <c r="U9" s="252"/>
      <c r="V9" s="252"/>
      <c r="W9" s="252"/>
      <c r="X9" s="252"/>
    </row>
    <row r="10" spans="1:24" ht="16.5" customHeight="1">
      <c r="A10" s="253" t="s">
        <v>45</v>
      </c>
      <c r="B10" s="258">
        <f>+B7-B8-B9</f>
        <v>54232511</v>
      </c>
      <c r="C10" s="258">
        <f aca="true" t="shared" si="0" ref="C10:M10">+C7-C8-C9</f>
        <v>47961511</v>
      </c>
      <c r="D10" s="258">
        <f t="shared" si="0"/>
        <v>42226054.99999999</v>
      </c>
      <c r="E10" s="258">
        <f t="shared" si="0"/>
        <v>33212028.000000004</v>
      </c>
      <c r="F10" s="258">
        <f t="shared" si="0"/>
        <v>30717764</v>
      </c>
      <c r="G10" s="258">
        <f t="shared" si="0"/>
        <v>35593879.00000001</v>
      </c>
      <c r="H10" s="258">
        <f t="shared" si="0"/>
        <v>36326425</v>
      </c>
      <c r="I10" s="258">
        <f t="shared" si="0"/>
        <v>38672576.99398545</v>
      </c>
      <c r="J10" s="258">
        <f t="shared" si="0"/>
        <v>29347300.001146376</v>
      </c>
      <c r="K10" s="258">
        <f t="shared" si="0"/>
        <v>32492825.000000004</v>
      </c>
      <c r="L10" s="258">
        <f t="shared" si="0"/>
        <v>33038301.996411983</v>
      </c>
      <c r="M10" s="258">
        <f t="shared" si="0"/>
        <v>37729764.52078851</v>
      </c>
      <c r="N10" s="255">
        <f>SUM(B10:M10)</f>
        <v>451550941.5123323</v>
      </c>
      <c r="O10" s="255"/>
      <c r="P10" s="255"/>
      <c r="Q10" s="255"/>
      <c r="R10" s="251"/>
      <c r="S10" s="252"/>
      <c r="T10" s="252"/>
      <c r="U10" s="252"/>
      <c r="V10" s="252"/>
      <c r="W10" s="252"/>
      <c r="X10" s="252"/>
    </row>
    <row r="11" spans="1:24" ht="12.75">
      <c r="A11" s="253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5"/>
      <c r="O11" s="255"/>
      <c r="P11" s="255"/>
      <c r="Q11" s="255"/>
      <c r="R11" s="251"/>
      <c r="S11" s="252"/>
      <c r="T11" s="252"/>
      <c r="U11" s="252"/>
      <c r="V11" s="252"/>
      <c r="W11" s="252"/>
      <c r="X11" s="252"/>
    </row>
    <row r="12" spans="1:24" ht="15.75">
      <c r="A12" s="259" t="s">
        <v>175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5"/>
      <c r="O12" s="255"/>
      <c r="P12" s="255"/>
      <c r="Q12" s="255"/>
      <c r="R12" s="251"/>
      <c r="S12" s="252"/>
      <c r="T12" s="252"/>
      <c r="U12" s="252"/>
      <c r="V12" s="252"/>
      <c r="W12" s="252"/>
      <c r="X12" s="252"/>
    </row>
    <row r="13" spans="1:24" ht="8.25" customHeight="1">
      <c r="A13" s="253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5"/>
      <c r="O13" s="255"/>
      <c r="P13" s="255"/>
      <c r="Q13" s="255"/>
      <c r="R13" s="251"/>
      <c r="S13" s="252"/>
      <c r="T13" s="252"/>
      <c r="U13" s="252"/>
      <c r="V13" s="252"/>
      <c r="W13" s="252"/>
      <c r="X13" s="252"/>
    </row>
    <row r="14" spans="1:24" ht="12.75">
      <c r="A14" s="246" t="s">
        <v>57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55"/>
      <c r="O14" s="255"/>
      <c r="P14" s="255"/>
      <c r="Q14" s="255"/>
      <c r="R14" s="251"/>
      <c r="S14" s="252"/>
      <c r="T14" s="252"/>
      <c r="U14" s="252"/>
      <c r="V14" s="252"/>
      <c r="W14" s="252"/>
      <c r="X14" s="252"/>
    </row>
    <row r="15" spans="1:24" ht="12.75">
      <c r="A15" s="261" t="s">
        <v>105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55"/>
      <c r="O15" s="255"/>
      <c r="P15" s="255"/>
      <c r="Q15" s="255"/>
      <c r="R15" s="251"/>
      <c r="S15" s="252"/>
      <c r="T15" s="252"/>
      <c r="U15" s="252"/>
      <c r="V15" s="252"/>
      <c r="W15" s="252"/>
      <c r="X15" s="252"/>
    </row>
    <row r="16" spans="1:24" ht="12.75">
      <c r="A16" s="253" t="s">
        <v>59</v>
      </c>
      <c r="B16" s="258">
        <f>'Data Inputs - 2011'!C15</f>
        <v>1978.9713499999978</v>
      </c>
      <c r="C16" s="258">
        <f>'Data Inputs - 2011'!D15</f>
        <v>75.785</v>
      </c>
      <c r="D16" s="258">
        <f>'Data Inputs - 2011'!E15</f>
        <v>472.685</v>
      </c>
      <c r="E16" s="258">
        <f>'Data Inputs - 2011'!F15</f>
        <v>2115.9800000000005</v>
      </c>
      <c r="F16" s="258">
        <f>'Data Inputs - 2011'!G15</f>
        <v>10266.74165</v>
      </c>
      <c r="G16" s="258">
        <f>'Data Inputs - 2011'!H15</f>
        <v>1613.0593000000017</v>
      </c>
      <c r="H16" s="258">
        <f>'Data Inputs - 2011'!I15</f>
        <v>11348.465</v>
      </c>
      <c r="I16" s="258">
        <f>'Data Inputs - 2011'!J15</f>
        <v>8791.58395</v>
      </c>
      <c r="J16" s="258">
        <f>'Data Inputs - 2011'!K15</f>
        <v>4172.264999999999</v>
      </c>
      <c r="K16" s="258">
        <f>'Data Inputs - 2011'!L15</f>
        <v>14835.857000000002</v>
      </c>
      <c r="L16" s="258">
        <f>'Data Inputs - 2011'!M15</f>
        <v>6538.537050000001</v>
      </c>
      <c r="M16" s="258">
        <f>'Data Inputs - 2011'!N15</f>
        <v>1554.69</v>
      </c>
      <c r="N16" s="255">
        <f>SUM(B16:M16)</f>
        <v>63764.62030000001</v>
      </c>
      <c r="O16" s="255"/>
      <c r="P16" s="255"/>
      <c r="Q16" s="255"/>
      <c r="R16" s="251"/>
      <c r="S16" s="252"/>
      <c r="T16" s="252"/>
      <c r="U16" s="252"/>
      <c r="V16" s="252"/>
      <c r="W16" s="252"/>
      <c r="X16" s="252"/>
    </row>
    <row r="17" spans="1:24" ht="12.75">
      <c r="A17" s="253" t="s">
        <v>104</v>
      </c>
      <c r="B17" s="258">
        <f>'Data Inputs - 2011'!C14</f>
        <v>138.52799449999986</v>
      </c>
      <c r="C17" s="258">
        <f>'Data Inputs - 2011'!D14</f>
        <v>5.30495</v>
      </c>
      <c r="D17" s="258">
        <f>'Data Inputs - 2011'!E14</f>
        <v>33.087950000000006</v>
      </c>
      <c r="E17" s="258">
        <f>'Data Inputs - 2011'!F14</f>
        <v>148.11860000000001</v>
      </c>
      <c r="F17" s="258">
        <f>'Data Inputs - 2011'!G14</f>
        <v>718.6719155000001</v>
      </c>
      <c r="G17" s="258">
        <f>'Data Inputs - 2011'!H14</f>
        <v>112.91415100000012</v>
      </c>
      <c r="H17" s="258">
        <f>'Data Inputs - 2011'!I14</f>
        <v>794.39255</v>
      </c>
      <c r="I17" s="258">
        <f>'Data Inputs - 2011'!J14</f>
        <v>615.4108765</v>
      </c>
      <c r="J17" s="258">
        <f>'Data Inputs - 2011'!K14</f>
        <v>292.05855</v>
      </c>
      <c r="K17" s="258">
        <f>'Data Inputs - 2011'!L14</f>
        <v>1038.50999</v>
      </c>
      <c r="L17" s="258">
        <f>'Data Inputs - 2011'!M14</f>
        <v>457.69759350000004</v>
      </c>
      <c r="M17" s="258">
        <f>'Data Inputs - 2011'!N14</f>
        <v>108.8283</v>
      </c>
      <c r="N17" s="255">
        <f>SUM(B17:M17)</f>
        <v>4463.523421000001</v>
      </c>
      <c r="O17" s="255"/>
      <c r="P17" s="255"/>
      <c r="Q17" s="255"/>
      <c r="R17" s="251"/>
      <c r="S17" s="252"/>
      <c r="T17" s="252"/>
      <c r="U17" s="252"/>
      <c r="V17" s="252"/>
      <c r="W17" s="252"/>
      <c r="X17" s="252"/>
    </row>
    <row r="18" spans="1:24" ht="12.75">
      <c r="A18" s="253" t="s">
        <v>60</v>
      </c>
      <c r="B18" s="258">
        <f>'Data Inputs - 2011'!C13</f>
        <v>-45481.0120055</v>
      </c>
      <c r="C18" s="258">
        <f>'Data Inputs - 2011'!D13</f>
        <v>-16454.805050000003</v>
      </c>
      <c r="D18" s="258">
        <f>'Data Inputs - 2011'!E13</f>
        <v>-10800.752049999997</v>
      </c>
      <c r="E18" s="258">
        <f>'Data Inputs - 2011'!F13</f>
        <v>8563.808599999997</v>
      </c>
      <c r="F18" s="258">
        <f>'Data Inputs - 2011'!G13</f>
        <v>111978.6019155</v>
      </c>
      <c r="G18" s="258">
        <f>'Data Inputs - 2011'!H13</f>
        <v>-1839.7458490000026</v>
      </c>
      <c r="H18" s="258">
        <f>'Data Inputs - 2011'!I13</f>
        <v>127757.98255000004</v>
      </c>
      <c r="I18" s="258">
        <f>'Data Inputs - 2011'!J13</f>
        <v>94484.20087649999</v>
      </c>
      <c r="J18" s="258">
        <f>'Data Inputs - 2011'!K13</f>
        <v>38163.01855</v>
      </c>
      <c r="K18" s="258">
        <f>'Data Inputs - 2011'!L13</f>
        <v>148257.08999</v>
      </c>
      <c r="L18" s="258">
        <f>'Data Inputs - 2011'!M13</f>
        <v>81885.7802250471</v>
      </c>
      <c r="M18" s="258">
        <f>'Data Inputs - 2011'!N13</f>
        <v>14018.63825748</v>
      </c>
      <c r="N18" s="255">
        <f>SUM(B18:M18)</f>
        <v>550532.8060100271</v>
      </c>
      <c r="O18" s="255"/>
      <c r="P18" s="255"/>
      <c r="Q18" s="255"/>
      <c r="R18" s="251"/>
      <c r="S18" s="252"/>
      <c r="T18" s="252"/>
      <c r="U18" s="252"/>
      <c r="V18" s="252"/>
      <c r="W18" s="252"/>
      <c r="X18" s="252"/>
    </row>
    <row r="19" spans="1:24" ht="12.75">
      <c r="A19" s="253" t="s">
        <v>61</v>
      </c>
      <c r="B19" s="258">
        <f>+B18-B16-B17</f>
        <v>-47598.51135</v>
      </c>
      <c r="C19" s="258">
        <f aca="true" t="shared" si="1" ref="C19:M19">+C18-C16-C17</f>
        <v>-16535.895000000004</v>
      </c>
      <c r="D19" s="258">
        <f t="shared" si="1"/>
        <v>-11306.524999999996</v>
      </c>
      <c r="E19" s="258">
        <f t="shared" si="1"/>
        <v>6299.709999999996</v>
      </c>
      <c r="F19" s="258">
        <f t="shared" si="1"/>
        <v>100993.18835</v>
      </c>
      <c r="G19" s="258">
        <f t="shared" si="1"/>
        <v>-3565.7193000000043</v>
      </c>
      <c r="H19" s="258">
        <f t="shared" si="1"/>
        <v>115615.12500000004</v>
      </c>
      <c r="I19" s="258">
        <f t="shared" si="1"/>
        <v>85077.20605</v>
      </c>
      <c r="J19" s="258">
        <f t="shared" si="1"/>
        <v>33698.695</v>
      </c>
      <c r="K19" s="258">
        <f t="shared" si="1"/>
        <v>132382.72300000003</v>
      </c>
      <c r="L19" s="258">
        <f t="shared" si="1"/>
        <v>74889.5455815471</v>
      </c>
      <c r="M19" s="258">
        <f t="shared" si="1"/>
        <v>12355.119957480001</v>
      </c>
      <c r="N19" s="255">
        <f>SUM(B19:M19)</f>
        <v>482304.6622890271</v>
      </c>
      <c r="O19" s="255"/>
      <c r="P19" s="255"/>
      <c r="Q19" s="255"/>
      <c r="R19" s="251"/>
      <c r="S19" s="252"/>
      <c r="T19" s="252"/>
      <c r="U19" s="252"/>
      <c r="V19" s="252"/>
      <c r="W19" s="252"/>
      <c r="X19" s="252"/>
    </row>
    <row r="20" spans="1:24" ht="5.25" customHeight="1">
      <c r="A20" s="253"/>
      <c r="B20" s="258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55"/>
      <c r="O20" s="255"/>
      <c r="P20" s="255"/>
      <c r="Q20" s="255"/>
      <c r="R20" s="251"/>
      <c r="S20" s="252"/>
      <c r="T20" s="252"/>
      <c r="U20" s="252"/>
      <c r="V20" s="252"/>
      <c r="W20" s="252"/>
      <c r="X20" s="252"/>
    </row>
    <row r="21" spans="1:24" ht="12.75">
      <c r="A21" s="262" t="s">
        <v>170</v>
      </c>
      <c r="B21" s="258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55"/>
      <c r="O21" s="255"/>
      <c r="P21" s="255"/>
      <c r="Q21" s="255"/>
      <c r="R21" s="251"/>
      <c r="S21" s="252"/>
      <c r="T21" s="252"/>
      <c r="U21" s="252"/>
      <c r="V21" s="252"/>
      <c r="W21" s="252"/>
      <c r="X21" s="252"/>
    </row>
    <row r="22" spans="1:24" ht="12.75">
      <c r="A22" s="263" t="s">
        <v>107</v>
      </c>
      <c r="B22" s="258">
        <f>+'Data Inputs - 2011'!C8</f>
        <v>9056.36802649504</v>
      </c>
      <c r="C22" s="258">
        <f>+'Data Inputs - 2011'!D8</f>
        <v>9056.36802649504</v>
      </c>
      <c r="D22" s="258">
        <f>+'Data Inputs - 2011'!E8</f>
        <v>9056.36802649504</v>
      </c>
      <c r="E22" s="258">
        <f>+'Data Inputs - 2011'!F8</f>
        <v>9056.36802649504</v>
      </c>
      <c r="F22" s="258">
        <f>+'Data Inputs - 2011'!G8</f>
        <v>9056.36802649504</v>
      </c>
      <c r="G22" s="258">
        <f>+'Data Inputs - 2011'!H8</f>
        <v>9396.60858641477</v>
      </c>
      <c r="H22" s="258">
        <f>+'Data Inputs - 2011'!I8</f>
        <v>9396.60858641477</v>
      </c>
      <c r="I22" s="258">
        <f>+'Data Inputs - 2011'!J8</f>
        <v>9396.60858641477</v>
      </c>
      <c r="J22" s="258">
        <f>+'Data Inputs - 2011'!K8</f>
        <v>9927.02571193174</v>
      </c>
      <c r="K22" s="258">
        <f>+'Data Inputs - 2011'!L8</f>
        <v>9927.02571193174</v>
      </c>
      <c r="L22" s="258">
        <f>+'Data Inputs - 2011'!M8</f>
        <v>9128.713913972733</v>
      </c>
      <c r="M22" s="258">
        <f>+'Data Inputs - 2011'!N8</f>
        <v>9128.713913972733</v>
      </c>
      <c r="N22" s="255">
        <f>SUM(B22:M22)</f>
        <v>111583.14514352845</v>
      </c>
      <c r="O22" s="255"/>
      <c r="P22" s="255"/>
      <c r="Q22" s="255"/>
      <c r="R22" s="251"/>
      <c r="S22" s="252"/>
      <c r="T22" s="252"/>
      <c r="U22" s="252"/>
      <c r="V22" s="252"/>
      <c r="W22" s="252"/>
      <c r="X22" s="252"/>
    </row>
    <row r="23" spans="1:24" ht="5.25" customHeight="1">
      <c r="A23" s="262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5"/>
      <c r="O23" s="255"/>
      <c r="P23" s="255"/>
      <c r="Q23" s="255"/>
      <c r="R23" s="251"/>
      <c r="S23" s="252"/>
      <c r="T23" s="252"/>
      <c r="U23" s="252"/>
      <c r="V23" s="252"/>
      <c r="W23" s="252"/>
      <c r="X23" s="252"/>
    </row>
    <row r="24" spans="1:24" ht="12.75">
      <c r="A24" s="262" t="s">
        <v>55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5"/>
      <c r="O24" s="255"/>
      <c r="P24" s="255"/>
      <c r="Q24" s="255"/>
      <c r="R24" s="251"/>
      <c r="S24" s="252"/>
      <c r="T24" s="252"/>
      <c r="U24" s="252"/>
      <c r="V24" s="252"/>
      <c r="W24" s="252"/>
      <c r="X24" s="252"/>
    </row>
    <row r="25" spans="1:24" ht="12.75">
      <c r="A25" s="263" t="s">
        <v>58</v>
      </c>
      <c r="B25" s="264">
        <f>+'Data Inputs - 2011'!C54</f>
        <v>159693344</v>
      </c>
      <c r="C25" s="264">
        <f>+'Data Inputs - 2011'!D54</f>
        <v>150509400</v>
      </c>
      <c r="D25" s="264">
        <f>+'Data Inputs - 2011'!E54</f>
        <v>169463371</v>
      </c>
      <c r="E25" s="264">
        <f>+'Data Inputs - 2011'!F54</f>
        <v>169151051</v>
      </c>
      <c r="F25" s="264">
        <f>+'Data Inputs - 2011'!G54</f>
        <v>178375532</v>
      </c>
      <c r="G25" s="264">
        <f>+'Data Inputs - 2011'!H54</f>
        <v>156522315</v>
      </c>
      <c r="H25" s="264">
        <f>+'Data Inputs - 2011'!I54</f>
        <v>178918489</v>
      </c>
      <c r="I25" s="264">
        <f>+'Data Inputs - 2011'!J54</f>
        <v>163566049</v>
      </c>
      <c r="J25" s="264">
        <f>+'Data Inputs - 2011'!K54</f>
        <v>85857834</v>
      </c>
      <c r="K25" s="264">
        <f>+'Data Inputs - 2011'!L54</f>
        <v>25729147</v>
      </c>
      <c r="L25" s="264">
        <f>+'Data Inputs - 2011'!M54</f>
        <v>37618560.00000001</v>
      </c>
      <c r="M25" s="264">
        <f>+'Data Inputs - 2011'!N54</f>
        <v>38872512</v>
      </c>
      <c r="N25" s="265">
        <f>SUM(B25:M25)</f>
        <v>1514277604</v>
      </c>
      <c r="O25" s="255"/>
      <c r="P25" s="255"/>
      <c r="Q25" s="255"/>
      <c r="R25" s="251"/>
      <c r="S25" s="252"/>
      <c r="T25" s="252"/>
      <c r="U25" s="252"/>
      <c r="V25" s="252"/>
      <c r="W25" s="252"/>
      <c r="X25" s="252"/>
    </row>
    <row r="26" spans="1:24" ht="12.75">
      <c r="A26" s="263" t="s">
        <v>136</v>
      </c>
      <c r="B26" s="258">
        <f>'Data Inputs - 2011'!C55</f>
        <v>911840.5199999999</v>
      </c>
      <c r="C26" s="258">
        <f>'Data Inputs - 2011'!D55</f>
        <v>748427.42</v>
      </c>
      <c r="D26" s="258">
        <f>'Data Inputs - 2011'!E55</f>
        <v>967173.93</v>
      </c>
      <c r="E26" s="258">
        <f>'Data Inputs - 2011'!F55</f>
        <v>1082079.22</v>
      </c>
      <c r="F26" s="258">
        <f>'Data Inputs - 2011'!G55</f>
        <v>1231461.8499999999</v>
      </c>
      <c r="G26" s="258">
        <f>'Data Inputs - 2011'!H55</f>
        <v>891466.96</v>
      </c>
      <c r="H26" s="258">
        <f>'Data Inputs - 2011'!I55</f>
        <v>1185488.98</v>
      </c>
      <c r="I26" s="258">
        <f>'Data Inputs - 2011'!J55</f>
        <v>837950.6</v>
      </c>
      <c r="J26" s="258">
        <f>'Data Inputs - 2011'!K55</f>
        <v>315620.7</v>
      </c>
      <c r="K26" s="258">
        <f>'Data Inputs - 2011'!L55</f>
        <v>166058.16</v>
      </c>
      <c r="L26" s="258">
        <f>'Data Inputs - 2011'!M55</f>
        <v>0</v>
      </c>
      <c r="M26" s="258">
        <f>'Data Inputs - 2011'!N55</f>
        <v>0</v>
      </c>
      <c r="N26" s="255">
        <f>SUM(B26:M26)</f>
        <v>8337568.339999999</v>
      </c>
      <c r="O26" s="255"/>
      <c r="P26" s="255"/>
      <c r="Q26" s="255"/>
      <c r="R26" s="251"/>
      <c r="S26" s="252"/>
      <c r="T26" s="252"/>
      <c r="U26" s="252"/>
      <c r="V26" s="252"/>
      <c r="W26" s="252"/>
      <c r="X26" s="252"/>
    </row>
    <row r="27" spans="1:24" ht="12.75">
      <c r="A27" s="263" t="s">
        <v>137</v>
      </c>
      <c r="B27" s="258">
        <f>'Data Inputs - 2011'!C56</f>
        <v>-1382121.7523976963</v>
      </c>
      <c r="C27" s="258">
        <f>'Data Inputs - 2011'!D56</f>
        <v>-537284.2065489651</v>
      </c>
      <c r="D27" s="258">
        <f>'Data Inputs - 2011'!E56</f>
        <v>-556069.43</v>
      </c>
      <c r="E27" s="258">
        <f>'Data Inputs - 2011'!F56</f>
        <v>-465880.50847775594</v>
      </c>
      <c r="F27" s="258">
        <f>'Data Inputs - 2011'!G56</f>
        <v>-440559.5536879165</v>
      </c>
      <c r="G27" s="258">
        <f>'Data Inputs - 2011'!H56</f>
        <v>-875870.1575196779</v>
      </c>
      <c r="H27" s="258">
        <f>'Data Inputs - 2011'!I56</f>
        <v>-436122.0411785896</v>
      </c>
      <c r="I27" s="258">
        <f>'Data Inputs - 2011'!J56</f>
        <v>-743442.389338159</v>
      </c>
      <c r="J27" s="258">
        <f>'Data Inputs - 2011'!K56</f>
        <v>-462807.23000000004</v>
      </c>
      <c r="K27" s="258">
        <f>'Data Inputs - 2011'!L56</f>
        <v>-187649.36000000002</v>
      </c>
      <c r="L27" s="258">
        <f>'Data Inputs - 2011'!M56</f>
        <v>0</v>
      </c>
      <c r="M27" s="258">
        <f>'Data Inputs - 2011'!N56</f>
        <v>0</v>
      </c>
      <c r="N27" s="255">
        <f>SUM(B27:M27)</f>
        <v>-6087806.629148761</v>
      </c>
      <c r="O27" s="255"/>
      <c r="P27" s="255"/>
      <c r="Q27" s="255"/>
      <c r="R27" s="251"/>
      <c r="S27" s="252"/>
      <c r="T27" s="252"/>
      <c r="U27" s="252"/>
      <c r="V27" s="252"/>
      <c r="W27" s="252"/>
      <c r="X27" s="252"/>
    </row>
    <row r="28" spans="1:24" ht="4.5" customHeight="1">
      <c r="A28" s="262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5"/>
      <c r="O28" s="255"/>
      <c r="P28" s="255"/>
      <c r="Q28" s="255"/>
      <c r="R28" s="251"/>
      <c r="S28" s="252"/>
      <c r="T28" s="252"/>
      <c r="U28" s="252"/>
      <c r="V28" s="252"/>
      <c r="W28" s="252"/>
      <c r="X28" s="252"/>
    </row>
    <row r="29" spans="1:24" ht="12.75">
      <c r="A29" s="262" t="s">
        <v>176</v>
      </c>
      <c r="B29" s="258">
        <f aca="true" t="shared" si="2" ref="B29:M29">+B19+B22+B26+B27</f>
        <v>-508823.3757212013</v>
      </c>
      <c r="C29" s="258">
        <f t="shared" si="2"/>
        <v>203663.68647753005</v>
      </c>
      <c r="D29" s="258">
        <f t="shared" si="2"/>
        <v>408854.3430264951</v>
      </c>
      <c r="E29" s="258">
        <f t="shared" si="2"/>
        <v>631554.789548739</v>
      </c>
      <c r="F29" s="258">
        <f t="shared" si="2"/>
        <v>900951.8526885783</v>
      </c>
      <c r="G29" s="258">
        <f t="shared" si="2"/>
        <v>21427.691766736796</v>
      </c>
      <c r="H29" s="258">
        <f t="shared" si="2"/>
        <v>874378.672407825</v>
      </c>
      <c r="I29" s="258">
        <f t="shared" si="2"/>
        <v>188982.02529825573</v>
      </c>
      <c r="J29" s="258">
        <f t="shared" si="2"/>
        <v>-103560.80928806827</v>
      </c>
      <c r="K29" s="258">
        <f t="shared" si="2"/>
        <v>120718.54871193177</v>
      </c>
      <c r="L29" s="258">
        <f t="shared" si="2"/>
        <v>84018.25949551984</v>
      </c>
      <c r="M29" s="258">
        <f t="shared" si="2"/>
        <v>21483.833871452734</v>
      </c>
      <c r="N29" s="255">
        <f>SUM(B29:M29)</f>
        <v>2843649.518283795</v>
      </c>
      <c r="O29" s="255"/>
      <c r="P29" s="255"/>
      <c r="Q29" s="255"/>
      <c r="R29" s="251"/>
      <c r="S29" s="252"/>
      <c r="T29" s="252"/>
      <c r="U29" s="252"/>
      <c r="V29" s="252"/>
      <c r="W29" s="252"/>
      <c r="X29" s="252"/>
    </row>
    <row r="30" spans="1:24" ht="12.75">
      <c r="A30" s="262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5"/>
      <c r="O30" s="255"/>
      <c r="P30" s="255"/>
      <c r="Q30" s="255"/>
      <c r="R30" s="251"/>
      <c r="S30" s="252"/>
      <c r="T30" s="252"/>
      <c r="U30" s="252"/>
      <c r="V30" s="252"/>
      <c r="W30" s="252"/>
      <c r="X30" s="252"/>
    </row>
    <row r="31" spans="1:24" ht="15.75">
      <c r="A31" s="266" t="s">
        <v>177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5"/>
      <c r="O31" s="255"/>
      <c r="P31" s="255"/>
      <c r="Q31" s="255"/>
      <c r="R31" s="251"/>
      <c r="S31" s="252"/>
      <c r="T31" s="252"/>
      <c r="U31" s="252"/>
      <c r="V31" s="252"/>
      <c r="W31" s="252"/>
      <c r="X31" s="252"/>
    </row>
    <row r="32" spans="1:24" ht="12.75">
      <c r="A32" s="253" t="s">
        <v>161</v>
      </c>
      <c r="B32" s="258">
        <f aca="true" t="shared" si="3" ref="B32:M32">+B10-B29</f>
        <v>54741334.3757212</v>
      </c>
      <c r="C32" s="258">
        <f t="shared" si="3"/>
        <v>47757847.31352247</v>
      </c>
      <c r="D32" s="258">
        <f t="shared" si="3"/>
        <v>41817200.656973496</v>
      </c>
      <c r="E32" s="258">
        <f t="shared" si="3"/>
        <v>32580473.210451264</v>
      </c>
      <c r="F32" s="258">
        <f t="shared" si="3"/>
        <v>29816812.147311423</v>
      </c>
      <c r="G32" s="258">
        <f t="shared" si="3"/>
        <v>35572451.30823327</v>
      </c>
      <c r="H32" s="258">
        <f t="shared" si="3"/>
        <v>35452046.32759217</v>
      </c>
      <c r="I32" s="258">
        <f t="shared" si="3"/>
        <v>38483594.9686872</v>
      </c>
      <c r="J32" s="258">
        <f t="shared" si="3"/>
        <v>29450860.810434446</v>
      </c>
      <c r="K32" s="258">
        <f t="shared" si="3"/>
        <v>32372106.45128807</v>
      </c>
      <c r="L32" s="258">
        <f t="shared" si="3"/>
        <v>32954283.736916464</v>
      </c>
      <c r="M32" s="258">
        <f t="shared" si="3"/>
        <v>37708280.68691706</v>
      </c>
      <c r="N32" s="265">
        <f>SUM(B32:M32)</f>
        <v>448707291.99404854</v>
      </c>
      <c r="O32" s="255"/>
      <c r="P32" s="255"/>
      <c r="Q32" s="255"/>
      <c r="R32" s="251"/>
      <c r="S32" s="252"/>
      <c r="T32" s="252"/>
      <c r="U32" s="252"/>
      <c r="V32" s="252"/>
      <c r="W32" s="252"/>
      <c r="X32" s="252"/>
    </row>
    <row r="33" spans="1:24" ht="14.25" customHeight="1">
      <c r="A33" s="253" t="s">
        <v>110</v>
      </c>
      <c r="B33" s="258">
        <f>+B8</f>
        <v>8302348</v>
      </c>
      <c r="C33" s="258">
        <f aca="true" t="shared" si="4" ref="C33:M33">+C8</f>
        <v>4307533</v>
      </c>
      <c r="D33" s="258">
        <f t="shared" si="4"/>
        <v>1948549</v>
      </c>
      <c r="E33" s="258">
        <f t="shared" si="4"/>
        <v>5342028</v>
      </c>
      <c r="F33" s="258">
        <f t="shared" si="4"/>
        <v>5724746</v>
      </c>
      <c r="G33" s="258">
        <f t="shared" si="4"/>
        <v>3570261</v>
      </c>
      <c r="H33" s="258">
        <f t="shared" si="4"/>
        <v>2978014</v>
      </c>
      <c r="I33" s="258">
        <f t="shared" si="4"/>
        <v>3471935</v>
      </c>
      <c r="J33" s="258">
        <f t="shared" si="4"/>
        <v>5770896</v>
      </c>
      <c r="K33" s="258">
        <f t="shared" si="4"/>
        <v>2455576</v>
      </c>
      <c r="L33" s="258">
        <f t="shared" si="4"/>
        <v>4318545</v>
      </c>
      <c r="M33" s="258">
        <f t="shared" si="4"/>
        <v>6097997</v>
      </c>
      <c r="N33" s="265">
        <f>SUM(B33:M33)</f>
        <v>54288428</v>
      </c>
      <c r="O33" s="255"/>
      <c r="P33" s="255"/>
      <c r="Q33" s="255"/>
      <c r="R33" s="251"/>
      <c r="S33" s="252"/>
      <c r="T33" s="252"/>
      <c r="U33" s="252"/>
      <c r="V33" s="252"/>
      <c r="W33" s="252"/>
      <c r="X33" s="252"/>
    </row>
    <row r="34" spans="1:24" ht="20.25" customHeight="1">
      <c r="A34" s="253" t="s">
        <v>109</v>
      </c>
      <c r="B34" s="267">
        <f>+B9</f>
        <v>2912068.2</v>
      </c>
      <c r="C34" s="267">
        <f aca="true" t="shared" si="5" ref="C34:M34">+C9</f>
        <v>3137513.2</v>
      </c>
      <c r="D34" s="267">
        <f t="shared" si="5"/>
        <v>4356541</v>
      </c>
      <c r="E34" s="267">
        <f t="shared" si="5"/>
        <v>5620939.3</v>
      </c>
      <c r="F34" s="267">
        <f t="shared" si="5"/>
        <v>3141181.5</v>
      </c>
      <c r="G34" s="267">
        <f t="shared" si="5"/>
        <v>3463999.8</v>
      </c>
      <c r="H34" s="267">
        <f t="shared" si="5"/>
        <v>3606964.4</v>
      </c>
      <c r="I34" s="267">
        <f t="shared" si="5"/>
        <v>3131338</v>
      </c>
      <c r="J34" s="267">
        <f t="shared" si="5"/>
        <v>2500936.93</v>
      </c>
      <c r="K34" s="267">
        <f t="shared" si="5"/>
        <v>4951746.8</v>
      </c>
      <c r="L34" s="267">
        <f t="shared" si="5"/>
        <v>4578689.09</v>
      </c>
      <c r="M34" s="267">
        <f t="shared" si="5"/>
        <v>5083817</v>
      </c>
      <c r="N34" s="268">
        <f>SUM(B34:M34)</f>
        <v>46485735.22</v>
      </c>
      <c r="O34" s="255"/>
      <c r="P34" s="255"/>
      <c r="Q34" s="255"/>
      <c r="R34" s="251"/>
      <c r="S34" s="252"/>
      <c r="T34" s="252"/>
      <c r="U34" s="252"/>
      <c r="V34" s="252"/>
      <c r="W34" s="252"/>
      <c r="X34" s="252"/>
    </row>
    <row r="35" spans="1:24" ht="12.75">
      <c r="A35" s="262" t="s">
        <v>44</v>
      </c>
      <c r="B35" s="258">
        <f>SUM(B32:B34)</f>
        <v>65955750.575721204</v>
      </c>
      <c r="C35" s="258">
        <f aca="true" t="shared" si="6" ref="C35:M35">SUM(C32:C34)</f>
        <v>55202893.513522476</v>
      </c>
      <c r="D35" s="258">
        <f t="shared" si="6"/>
        <v>48122290.656973496</v>
      </c>
      <c r="E35" s="258">
        <f t="shared" si="6"/>
        <v>43543440.51045126</v>
      </c>
      <c r="F35" s="258">
        <f t="shared" si="6"/>
        <v>38682739.64731142</v>
      </c>
      <c r="G35" s="258">
        <f t="shared" si="6"/>
        <v>42606712.108233266</v>
      </c>
      <c r="H35" s="258">
        <f t="shared" si="6"/>
        <v>42037024.72759217</v>
      </c>
      <c r="I35" s="258">
        <f t="shared" si="6"/>
        <v>45086867.9686872</v>
      </c>
      <c r="J35" s="258">
        <f t="shared" si="6"/>
        <v>37722693.740434445</v>
      </c>
      <c r="K35" s="258">
        <f t="shared" si="6"/>
        <v>39779429.25128807</v>
      </c>
      <c r="L35" s="258">
        <f t="shared" si="6"/>
        <v>41851517.82691647</v>
      </c>
      <c r="M35" s="258">
        <f t="shared" si="6"/>
        <v>48890094.68691706</v>
      </c>
      <c r="N35" s="265">
        <f>SUM(B35:M35)</f>
        <v>549481455.2140485</v>
      </c>
      <c r="O35" s="255"/>
      <c r="P35" s="255"/>
      <c r="Q35" s="255"/>
      <c r="R35" s="251"/>
      <c r="S35" s="252"/>
      <c r="T35" s="252"/>
      <c r="U35" s="252"/>
      <c r="V35" s="252"/>
      <c r="W35" s="252"/>
      <c r="X35" s="252"/>
    </row>
    <row r="36" spans="1:24" ht="12.75">
      <c r="A36" s="262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5"/>
      <c r="O36" s="255"/>
      <c r="P36" s="255"/>
      <c r="Q36" s="255"/>
      <c r="R36" s="251"/>
      <c r="S36" s="252"/>
      <c r="T36" s="252"/>
      <c r="U36" s="252"/>
      <c r="V36" s="252"/>
      <c r="W36" s="252"/>
      <c r="X36" s="252"/>
    </row>
    <row r="37" spans="1:24" ht="15.75">
      <c r="A37" s="266" t="s">
        <v>74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5"/>
      <c r="O37" s="255"/>
      <c r="P37" s="255"/>
      <c r="Q37" s="255"/>
      <c r="R37" s="251"/>
      <c r="S37" s="252"/>
      <c r="T37" s="252"/>
      <c r="U37" s="252"/>
      <c r="V37" s="252"/>
      <c r="W37" s="252"/>
      <c r="X37" s="252"/>
    </row>
    <row r="38" spans="1:24" ht="12.75">
      <c r="A38" s="269" t="s">
        <v>171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5"/>
      <c r="O38" s="255"/>
      <c r="P38" s="255"/>
      <c r="Q38" s="255"/>
      <c r="R38" s="251"/>
      <c r="S38" s="252"/>
      <c r="T38" s="252"/>
      <c r="U38" s="252"/>
      <c r="V38" s="252"/>
      <c r="W38" s="252"/>
      <c r="X38" s="252"/>
    </row>
    <row r="39" spans="1:24" ht="12.75">
      <c r="A39" s="253" t="s">
        <v>178</v>
      </c>
      <c r="B39" s="258">
        <f>B$32*'Monthly Energy Allocators'!B150*$A$4*$A$2+(1-$A$2)*'Data Inputs - 2011'!C16</f>
        <v>887415.4800000001</v>
      </c>
      <c r="C39" s="258">
        <f>C$32*'Monthly Energy Allocators'!C150*$A$4*$A$2+(1-$A$2)*'Data Inputs - 2011'!D16</f>
        <v>714261.2400000001</v>
      </c>
      <c r="D39" s="258">
        <f>D$32*'Monthly Energy Allocators'!D150*$A$4*$A$2+(1-$A$2)*'Data Inputs - 2011'!E16</f>
        <v>885010.56</v>
      </c>
      <c r="E39" s="258">
        <f>E$32*'Monthly Energy Allocators'!E150*$A$4*$A$2+(1-$A$2)*'Data Inputs - 2011'!F16</f>
        <v>829697.4</v>
      </c>
      <c r="F39" s="258">
        <f>F$32*'Monthly Energy Allocators'!F150*$A$4*$A$2+(1-$A$2)*'Data Inputs - 2011'!G16</f>
        <v>887415.4800000001</v>
      </c>
      <c r="G39" s="258">
        <f>G$32*'Monthly Energy Allocators'!G150*$A$4*$A$2+(1-$A$2)*'Data Inputs - 2011'!H16</f>
        <v>829697.4</v>
      </c>
      <c r="H39" s="258">
        <f>H$32*'Monthly Energy Allocators'!H150*$A$4*$A$2+(1-$A$2)*'Data Inputs - 2011'!I16</f>
        <v>887415.4800000001</v>
      </c>
      <c r="I39" s="258">
        <f>I$32*'Monthly Energy Allocators'!I150*$A$4*$A$2+(1-$A$2)*'Data Inputs - 2011'!J16</f>
        <v>887415.4800000001</v>
      </c>
      <c r="J39" s="258">
        <f>J$32*'Monthly Energy Allocators'!J150*$A$4*$A$2+(1-$A$2)*'Data Inputs - 2011'!K16</f>
        <v>829697.4</v>
      </c>
      <c r="K39" s="258">
        <f>K$32*'Monthly Energy Allocators'!K150*$A$4*$A$2+(1-$A$2)*'Data Inputs - 2011'!L16</f>
        <v>887415.4800000001</v>
      </c>
      <c r="L39" s="258">
        <f>L$32*'Monthly Energy Allocators'!L150*$A$4*$A$2+(1-$A$2)*'Data Inputs - 2011'!M16</f>
        <v>829697.4</v>
      </c>
      <c r="M39" s="258">
        <f>M$32*'Monthly Energy Allocators'!M150*$A$4*$A$2+(1-$A$2)*'Data Inputs - 2011'!N16</f>
        <v>887415.4800000001</v>
      </c>
      <c r="N39" s="255">
        <f>SUM(B39:M39)</f>
        <v>10242554.280000003</v>
      </c>
      <c r="O39" s="255"/>
      <c r="P39" s="255"/>
      <c r="Q39" s="255"/>
      <c r="R39" s="251"/>
      <c r="S39" s="252"/>
      <c r="T39" s="252"/>
      <c r="U39" s="252"/>
      <c r="V39" s="252"/>
      <c r="W39" s="252"/>
      <c r="X39" s="252"/>
    </row>
    <row r="40" spans="1:24" ht="12.75">
      <c r="A40" s="253" t="s">
        <v>179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5"/>
      <c r="O40" s="255"/>
      <c r="P40" s="255"/>
      <c r="Q40" s="255"/>
      <c r="R40" s="251"/>
      <c r="S40" s="252"/>
      <c r="T40" s="252"/>
      <c r="U40" s="252"/>
      <c r="V40" s="252"/>
      <c r="W40" s="252"/>
      <c r="X40" s="252"/>
    </row>
    <row r="41" spans="1:24" ht="12.75">
      <c r="A41" s="253" t="s">
        <v>181</v>
      </c>
      <c r="B41" s="258">
        <f>'BCF Allocation'!$J$32*'BCF Allocation'!$G$35*'Monthly Fuel Cost Allocation'!B$33*$A$4*$A$2</f>
        <v>0</v>
      </c>
      <c r="C41" s="258">
        <f>'BCF Allocation'!$J$32*'BCF Allocation'!$G$35*'Monthly Fuel Cost Allocation'!C$33*$A$4*$A$2</f>
        <v>0</v>
      </c>
      <c r="D41" s="258">
        <f>'BCF Allocation'!$J$32*'BCF Allocation'!$G$35*'Monthly Fuel Cost Allocation'!D$33*$A$4*$A$2</f>
        <v>0</v>
      </c>
      <c r="E41" s="258">
        <f>'BCF Allocation'!$J$32*'BCF Allocation'!$G$35*'Monthly Fuel Cost Allocation'!E$33*$A$4*$A$2</f>
        <v>0</v>
      </c>
      <c r="F41" s="258">
        <f>'BCF Allocation'!$J$32*'BCF Allocation'!$G$35*'Monthly Fuel Cost Allocation'!F$33*$A$4*$A$2</f>
        <v>0</v>
      </c>
      <c r="G41" s="258">
        <f>'BCF Allocation'!$J$32*'BCF Allocation'!$G$35*'Monthly Fuel Cost Allocation'!G$33*$A$4*$A$2</f>
        <v>0</v>
      </c>
      <c r="H41" s="258">
        <f>'BCF Allocation'!$J$32*'BCF Allocation'!$G$35*'Monthly Fuel Cost Allocation'!H$33*$A$4*$A$2</f>
        <v>0</v>
      </c>
      <c r="I41" s="258">
        <f>'BCF Allocation'!$J$32*'BCF Allocation'!$G$35*'Monthly Fuel Cost Allocation'!I$33*$A$4*$A$2</f>
        <v>0</v>
      </c>
      <c r="J41" s="258">
        <f>'BCF Allocation'!$J$32*'BCF Allocation'!$G$35*'Monthly Fuel Cost Allocation'!J$33*$A$4*$A$2</f>
        <v>0</v>
      </c>
      <c r="K41" s="258">
        <f>'BCF Allocation'!$J$32*'BCF Allocation'!$G$35*'Monthly Fuel Cost Allocation'!K$33*$A$4*$A$2</f>
        <v>0</v>
      </c>
      <c r="L41" s="258">
        <f>'BCF Allocation'!$J$32*'BCF Allocation'!$G$35*'Monthly Fuel Cost Allocation'!L$33*$A$4*$A$2</f>
        <v>0</v>
      </c>
      <c r="M41" s="258">
        <f>'BCF Allocation'!$J$32*'BCF Allocation'!$G$35*'Monthly Fuel Cost Allocation'!M$33*$A$4*$A$2</f>
        <v>0</v>
      </c>
      <c r="N41" s="255">
        <f>SUM(B41:M41)</f>
        <v>0</v>
      </c>
      <c r="O41" s="255"/>
      <c r="P41" s="255"/>
      <c r="Q41" s="255"/>
      <c r="R41" s="251"/>
      <c r="S41" s="252"/>
      <c r="T41" s="252"/>
      <c r="U41" s="252"/>
      <c r="V41" s="252"/>
      <c r="W41" s="252"/>
      <c r="X41" s="252"/>
    </row>
    <row r="42" spans="1:24" ht="12.75">
      <c r="A42" s="253" t="s">
        <v>183</v>
      </c>
      <c r="B42" s="258">
        <f>'BCF Allocation'!$M$32*'BCF Allocation'!$K$32*'BCF Allocation'!$G$35*'Monthly Fuel Cost Allocation'!B$33*$A$4*$A$2</f>
        <v>0</v>
      </c>
      <c r="C42" s="258">
        <f>'BCF Allocation'!$M$32*'BCF Allocation'!$K$32*'BCF Allocation'!$G$35*'Monthly Fuel Cost Allocation'!C$33*$A$4*$A$2</f>
        <v>0</v>
      </c>
      <c r="D42" s="258">
        <f>'BCF Allocation'!$M$32*'BCF Allocation'!$K$32*'BCF Allocation'!$G$35*'Monthly Fuel Cost Allocation'!D$33*$A$4*$A$2</f>
        <v>0</v>
      </c>
      <c r="E42" s="258">
        <f>'BCF Allocation'!$M$32*'BCF Allocation'!$K$32*'BCF Allocation'!$G$35*'Monthly Fuel Cost Allocation'!E$33*$A$4*$A$2</f>
        <v>0</v>
      </c>
      <c r="F42" s="258">
        <f>'BCF Allocation'!$M$32*'BCF Allocation'!$K$32*'BCF Allocation'!$G$35*'Monthly Fuel Cost Allocation'!F$33*$A$4*$A$2</f>
        <v>0</v>
      </c>
      <c r="G42" s="258">
        <f>'BCF Allocation'!$M$32*'BCF Allocation'!$K$32*'BCF Allocation'!$G$35*'Monthly Fuel Cost Allocation'!G$33*$A$4*$A$2</f>
        <v>0</v>
      </c>
      <c r="H42" s="258">
        <f>'BCF Allocation'!$M$32*'BCF Allocation'!$K$32*'BCF Allocation'!$G$35*'Monthly Fuel Cost Allocation'!H$33*$A$4*$A$2</f>
        <v>0</v>
      </c>
      <c r="I42" s="258">
        <f>'BCF Allocation'!$M$32*'BCF Allocation'!$K$32*'BCF Allocation'!$G$35*'Monthly Fuel Cost Allocation'!I$33*$A$4*$A$2</f>
        <v>0</v>
      </c>
      <c r="J42" s="258">
        <f>'BCF Allocation'!$M$32*'BCF Allocation'!$K$32*'BCF Allocation'!$G$35*'Monthly Fuel Cost Allocation'!J$33*$A$4*$A$2</f>
        <v>0</v>
      </c>
      <c r="K42" s="258">
        <f>'BCF Allocation'!$M$32*'BCF Allocation'!$K$32*'BCF Allocation'!$G$35*'Monthly Fuel Cost Allocation'!K$33*$A$4*$A$2</f>
        <v>0</v>
      </c>
      <c r="L42" s="258">
        <f>'BCF Allocation'!$M$32*'BCF Allocation'!$K$32*'BCF Allocation'!$G$35*'Monthly Fuel Cost Allocation'!L$33*$A$4*$A$2</f>
        <v>0</v>
      </c>
      <c r="M42" s="258">
        <f>'BCF Allocation'!$M$32*'BCF Allocation'!$K$32*'BCF Allocation'!$G$35*'Monthly Fuel Cost Allocation'!M$33*$A$4*$A$2</f>
        <v>0</v>
      </c>
      <c r="N42" s="255">
        <f>SUM(B42:M42)</f>
        <v>0</v>
      </c>
      <c r="O42" s="255"/>
      <c r="P42" s="255"/>
      <c r="Q42" s="255"/>
      <c r="R42" s="251"/>
      <c r="S42" s="252"/>
      <c r="T42" s="252"/>
      <c r="U42" s="252"/>
      <c r="V42" s="252"/>
      <c r="W42" s="252"/>
      <c r="X42" s="252"/>
    </row>
    <row r="43" spans="1:24" ht="12.75">
      <c r="A43" s="253" t="s">
        <v>182</v>
      </c>
      <c r="B43" s="267">
        <f>'BCF Allocation'!$M$32*'BCF Allocation'!$L$32*'BCF Allocation'!$E$35*'Monthly Fuel Cost Allocation'!B$33*$A$4*$A$2</f>
        <v>0</v>
      </c>
      <c r="C43" s="267">
        <f>'BCF Allocation'!$M$32*'BCF Allocation'!$L$32*'BCF Allocation'!$E$35*'Monthly Fuel Cost Allocation'!C$33*$A$4*$A$2</f>
        <v>0</v>
      </c>
      <c r="D43" s="267">
        <f>'BCF Allocation'!$M$32*'BCF Allocation'!$L$32*'BCF Allocation'!$E$35*'Monthly Fuel Cost Allocation'!D$33*$A$4*$A$2</f>
        <v>0</v>
      </c>
      <c r="E43" s="267">
        <f>'BCF Allocation'!$M$32*'BCF Allocation'!$L$32*'BCF Allocation'!$E$35*'Monthly Fuel Cost Allocation'!E$33*$A$4*$A$2</f>
        <v>0</v>
      </c>
      <c r="F43" s="267">
        <f>'BCF Allocation'!$M$32*'BCF Allocation'!$L$32*'BCF Allocation'!$E$35*'Monthly Fuel Cost Allocation'!F$33*$A$4*$A$2</f>
        <v>0</v>
      </c>
      <c r="G43" s="267">
        <f>'BCF Allocation'!$M$32*'BCF Allocation'!$L$32*'BCF Allocation'!$E$35*'Monthly Fuel Cost Allocation'!G$33*$A$4*$A$2</f>
        <v>0</v>
      </c>
      <c r="H43" s="267">
        <f>'BCF Allocation'!$M$32*'BCF Allocation'!$L$32*'BCF Allocation'!$E$35*'Monthly Fuel Cost Allocation'!H$33*$A$4*$A$2</f>
        <v>0</v>
      </c>
      <c r="I43" s="267">
        <f>'BCF Allocation'!$M$32*'BCF Allocation'!$L$32*'BCF Allocation'!$E$35*'Monthly Fuel Cost Allocation'!I$33*$A$4*$A$2</f>
        <v>0</v>
      </c>
      <c r="J43" s="267">
        <f>'BCF Allocation'!$M$32*'BCF Allocation'!$L$32*'BCF Allocation'!$E$35*'Monthly Fuel Cost Allocation'!J$33*$A$4*$A$2</f>
        <v>0</v>
      </c>
      <c r="K43" s="267">
        <f>'BCF Allocation'!$M$32*'BCF Allocation'!$L$32*'BCF Allocation'!$E$35*'Monthly Fuel Cost Allocation'!K$33*$A$4*$A$2</f>
        <v>0</v>
      </c>
      <c r="L43" s="267">
        <f>'BCF Allocation'!$M$32*'BCF Allocation'!$L$32*'BCF Allocation'!$E$35*'Monthly Fuel Cost Allocation'!L$33*$A$4*$A$2</f>
        <v>0</v>
      </c>
      <c r="M43" s="267">
        <f>'BCF Allocation'!$M$32*'BCF Allocation'!$L$32*'BCF Allocation'!$E$35*'Monthly Fuel Cost Allocation'!M$33*$A$4*$A$2</f>
        <v>0</v>
      </c>
      <c r="N43" s="257">
        <f>SUM(B43:M43)</f>
        <v>0</v>
      </c>
      <c r="O43" s="255"/>
      <c r="P43" s="255"/>
      <c r="Q43" s="255"/>
      <c r="R43" s="251"/>
      <c r="S43" s="252"/>
      <c r="T43" s="252"/>
      <c r="U43" s="252"/>
      <c r="V43" s="252"/>
      <c r="W43" s="252"/>
      <c r="X43" s="252"/>
    </row>
    <row r="44" spans="1:24" ht="12.75">
      <c r="A44" s="253" t="s">
        <v>185</v>
      </c>
      <c r="B44" s="258">
        <f>SUM(B41:B43)</f>
        <v>0</v>
      </c>
      <c r="C44" s="258">
        <f aca="true" t="shared" si="7" ref="C44:M44">SUM(C41:C43)</f>
        <v>0</v>
      </c>
      <c r="D44" s="258">
        <f t="shared" si="7"/>
        <v>0</v>
      </c>
      <c r="E44" s="258">
        <f t="shared" si="7"/>
        <v>0</v>
      </c>
      <c r="F44" s="258">
        <f t="shared" si="7"/>
        <v>0</v>
      </c>
      <c r="G44" s="258">
        <f t="shared" si="7"/>
        <v>0</v>
      </c>
      <c r="H44" s="258">
        <f t="shared" si="7"/>
        <v>0</v>
      </c>
      <c r="I44" s="258">
        <f t="shared" si="7"/>
        <v>0</v>
      </c>
      <c r="J44" s="258">
        <f t="shared" si="7"/>
        <v>0</v>
      </c>
      <c r="K44" s="258">
        <f t="shared" si="7"/>
        <v>0</v>
      </c>
      <c r="L44" s="258">
        <f t="shared" si="7"/>
        <v>0</v>
      </c>
      <c r="M44" s="258">
        <f t="shared" si="7"/>
        <v>0</v>
      </c>
      <c r="N44" s="255">
        <f>SUM(B44:M44)</f>
        <v>0</v>
      </c>
      <c r="O44" s="255"/>
      <c r="P44" s="255"/>
      <c r="Q44" s="255"/>
      <c r="R44" s="251"/>
      <c r="S44" s="252"/>
      <c r="T44" s="252"/>
      <c r="U44" s="252"/>
      <c r="V44" s="252"/>
      <c r="W44" s="252"/>
      <c r="X44" s="252"/>
    </row>
    <row r="45" spans="1:24" ht="12.75">
      <c r="A45" s="253" t="s">
        <v>180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5"/>
      <c r="O45" s="255"/>
      <c r="P45" s="255"/>
      <c r="Q45" s="255"/>
      <c r="R45" s="251"/>
      <c r="S45" s="252"/>
      <c r="T45" s="252"/>
      <c r="U45" s="252"/>
      <c r="V45" s="252"/>
      <c r="W45" s="252"/>
      <c r="X45" s="252"/>
    </row>
    <row r="46" spans="1:24" ht="12.75">
      <c r="A46" s="253" t="s">
        <v>181</v>
      </c>
      <c r="B46" s="258">
        <f>'BCF Allocation'!$O$32*'BCF Allocation'!$G$35*'Monthly Fuel Cost Allocation'!B$34*$A$4*$A$2</f>
        <v>0</v>
      </c>
      <c r="C46" s="258">
        <f>'BCF Allocation'!$O$32*'BCF Allocation'!$G$35*'Monthly Fuel Cost Allocation'!C$34*$A$4*$A$2</f>
        <v>0</v>
      </c>
      <c r="D46" s="258">
        <f>'BCF Allocation'!$O$32*'BCF Allocation'!$G$35*'Monthly Fuel Cost Allocation'!D$34*$A$4*$A$2</f>
        <v>0</v>
      </c>
      <c r="E46" s="258">
        <f>'BCF Allocation'!$O$32*'BCF Allocation'!$G$35*'Monthly Fuel Cost Allocation'!E$34*$A$4*$A$2</f>
        <v>0</v>
      </c>
      <c r="F46" s="258">
        <f>'BCF Allocation'!$O$32*'BCF Allocation'!$G$35*'Monthly Fuel Cost Allocation'!F$34*$A$4*$A$2</f>
        <v>0</v>
      </c>
      <c r="G46" s="258">
        <f>'BCF Allocation'!$O$32*'BCF Allocation'!$G$35*'Monthly Fuel Cost Allocation'!G$34*$A$4*$A$2</f>
        <v>0</v>
      </c>
      <c r="H46" s="258">
        <f>'BCF Allocation'!$O$32*'BCF Allocation'!$G$35*'Monthly Fuel Cost Allocation'!H$34*$A$4*$A$2</f>
        <v>0</v>
      </c>
      <c r="I46" s="258">
        <f>'BCF Allocation'!$O$32*'BCF Allocation'!$G$35*'Monthly Fuel Cost Allocation'!I$34*$A$4*$A$2</f>
        <v>0</v>
      </c>
      <c r="J46" s="258">
        <f>'BCF Allocation'!$O$32*'BCF Allocation'!$G$35*'Monthly Fuel Cost Allocation'!J$34*$A$4*$A$2</f>
        <v>0</v>
      </c>
      <c r="K46" s="258">
        <f>'BCF Allocation'!$O$32*'BCF Allocation'!$G$35*'Monthly Fuel Cost Allocation'!K$34*$A$4*$A$2</f>
        <v>0</v>
      </c>
      <c r="L46" s="258">
        <f>'BCF Allocation'!$O$32*'BCF Allocation'!$G$35*'Monthly Fuel Cost Allocation'!L$34*$A$4*$A$2</f>
        <v>0</v>
      </c>
      <c r="M46" s="258">
        <f>'BCF Allocation'!$O$32*'BCF Allocation'!$G$35*'Monthly Fuel Cost Allocation'!M$34*$A$4*$A$2</f>
        <v>0</v>
      </c>
      <c r="N46" s="255">
        <f>SUM(B46:M46)</f>
        <v>0</v>
      </c>
      <c r="O46" s="255"/>
      <c r="P46" s="255"/>
      <c r="Q46" s="255"/>
      <c r="R46" s="251"/>
      <c r="S46" s="252"/>
      <c r="T46" s="252"/>
      <c r="U46" s="252"/>
      <c r="V46" s="252"/>
      <c r="W46" s="252"/>
      <c r="X46" s="252"/>
    </row>
    <row r="47" spans="1:24" ht="12.75">
      <c r="A47" s="253" t="s">
        <v>183</v>
      </c>
      <c r="B47" s="258">
        <f>'BCF Allocation'!$R$32*'BCF Allocation'!$P$32*'BCF Allocation'!$G$35*'Monthly Fuel Cost Allocation'!B$34*$A$4*$A$2</f>
        <v>0</v>
      </c>
      <c r="C47" s="258">
        <f>'BCF Allocation'!$R$32*'BCF Allocation'!$P$32*'BCF Allocation'!$G$35*'Monthly Fuel Cost Allocation'!C$34*$A$4*$A$2</f>
        <v>0</v>
      </c>
      <c r="D47" s="258">
        <f>'BCF Allocation'!$R$32*'BCF Allocation'!$P$32*'BCF Allocation'!$G$35*'Monthly Fuel Cost Allocation'!D$34*$A$4*$A$2</f>
        <v>0</v>
      </c>
      <c r="E47" s="258">
        <f>'BCF Allocation'!$R$32*'BCF Allocation'!$P$32*'BCF Allocation'!$G$35*'Monthly Fuel Cost Allocation'!E$34*$A$4*$A$2</f>
        <v>0</v>
      </c>
      <c r="F47" s="258">
        <f>'BCF Allocation'!$R$32*'BCF Allocation'!$P$32*'BCF Allocation'!$G$35*'Monthly Fuel Cost Allocation'!F$34*$A$4*$A$2</f>
        <v>0</v>
      </c>
      <c r="G47" s="258">
        <f>'BCF Allocation'!$R$32*'BCF Allocation'!$P$32*'BCF Allocation'!$G$35*'Monthly Fuel Cost Allocation'!G$34*$A$4*$A$2</f>
        <v>0</v>
      </c>
      <c r="H47" s="258">
        <f>'BCF Allocation'!$R$32*'BCF Allocation'!$P$32*'BCF Allocation'!$G$35*'Monthly Fuel Cost Allocation'!H$34*$A$4*$A$2</f>
        <v>0</v>
      </c>
      <c r="I47" s="258">
        <f>'BCF Allocation'!$R$32*'BCF Allocation'!$P$32*'BCF Allocation'!$G$35*'Monthly Fuel Cost Allocation'!I$34*$A$4*$A$2</f>
        <v>0</v>
      </c>
      <c r="J47" s="258">
        <f>'BCF Allocation'!$R$32*'BCF Allocation'!$P$32*'BCF Allocation'!$G$35*'Monthly Fuel Cost Allocation'!J$34*$A$4*$A$2</f>
        <v>0</v>
      </c>
      <c r="K47" s="258">
        <f>'BCF Allocation'!$R$32*'BCF Allocation'!$P$32*'BCF Allocation'!$G$35*'Monthly Fuel Cost Allocation'!K$34*$A$4*$A$2</f>
        <v>0</v>
      </c>
      <c r="L47" s="258">
        <f>'BCF Allocation'!$R$32*'BCF Allocation'!$P$32*'BCF Allocation'!$G$35*'Monthly Fuel Cost Allocation'!L$34*$A$4*$A$2</f>
        <v>0</v>
      </c>
      <c r="M47" s="258">
        <f>'BCF Allocation'!$R$32*'BCF Allocation'!$P$32*'BCF Allocation'!$G$35*'Monthly Fuel Cost Allocation'!M$34*$A$4*$A$2</f>
        <v>0</v>
      </c>
      <c r="N47" s="255">
        <f>SUM(B47:M47)</f>
        <v>0</v>
      </c>
      <c r="O47" s="255"/>
      <c r="P47" s="255"/>
      <c r="Q47" s="255"/>
      <c r="R47" s="251"/>
      <c r="S47" s="252"/>
      <c r="T47" s="252"/>
      <c r="U47" s="252"/>
      <c r="V47" s="252"/>
      <c r="W47" s="252"/>
      <c r="X47" s="252"/>
    </row>
    <row r="48" spans="1:24" ht="12.75">
      <c r="A48" s="253" t="s">
        <v>182</v>
      </c>
      <c r="B48" s="267">
        <f>'BCF Allocation'!$R$32*'BCF Allocation'!$Q$32*'BCF Allocation'!$E$35*'Monthly Fuel Cost Allocation'!B$34*$A$4*$A$2</f>
        <v>0</v>
      </c>
      <c r="C48" s="267">
        <f>'BCF Allocation'!$R$32*'BCF Allocation'!$Q$32*'BCF Allocation'!$E$35*'Monthly Fuel Cost Allocation'!C$34*$A$4*$A$2</f>
        <v>0</v>
      </c>
      <c r="D48" s="267">
        <f>'BCF Allocation'!$R$32*'BCF Allocation'!$Q$32*'BCF Allocation'!$E$35*'Monthly Fuel Cost Allocation'!D$34*$A$4*$A$2</f>
        <v>0</v>
      </c>
      <c r="E48" s="267">
        <f>'BCF Allocation'!$R$32*'BCF Allocation'!$Q$32*'BCF Allocation'!$E$35*'Monthly Fuel Cost Allocation'!E$34*$A$4*$A$2</f>
        <v>0</v>
      </c>
      <c r="F48" s="267">
        <f>'BCF Allocation'!$R$32*'BCF Allocation'!$Q$32*'BCF Allocation'!$E$35*'Monthly Fuel Cost Allocation'!F$34*$A$4*$A$2</f>
        <v>0</v>
      </c>
      <c r="G48" s="267">
        <f>'BCF Allocation'!$R$32*'BCF Allocation'!$Q$32*'BCF Allocation'!$E$35*'Monthly Fuel Cost Allocation'!G$34*$A$4*$A$2</f>
        <v>0</v>
      </c>
      <c r="H48" s="267">
        <f>'BCF Allocation'!$R$32*'BCF Allocation'!$Q$32*'BCF Allocation'!$E$35*'Monthly Fuel Cost Allocation'!H$34*$A$4*$A$2</f>
        <v>0</v>
      </c>
      <c r="I48" s="267">
        <f>'BCF Allocation'!$R$32*'BCF Allocation'!$Q$32*'BCF Allocation'!$E$35*'Monthly Fuel Cost Allocation'!I$34*$A$4*$A$2</f>
        <v>0</v>
      </c>
      <c r="J48" s="267">
        <f>'BCF Allocation'!$R$32*'BCF Allocation'!$Q$32*'BCF Allocation'!$E$35*'Monthly Fuel Cost Allocation'!J$34*$A$4*$A$2</f>
        <v>0</v>
      </c>
      <c r="K48" s="267">
        <f>'BCF Allocation'!$R$32*'BCF Allocation'!$Q$32*'BCF Allocation'!$E$35*'Monthly Fuel Cost Allocation'!K$34*$A$4*$A$2</f>
        <v>0</v>
      </c>
      <c r="L48" s="267">
        <f>'BCF Allocation'!$R$32*'BCF Allocation'!$Q$32*'BCF Allocation'!$E$35*'Monthly Fuel Cost Allocation'!L$34*$A$4*$A$2</f>
        <v>0</v>
      </c>
      <c r="M48" s="267">
        <f>'BCF Allocation'!$R$32*'BCF Allocation'!$Q$32*'BCF Allocation'!$E$35*'Monthly Fuel Cost Allocation'!M$34*$A$4*$A$2</f>
        <v>0</v>
      </c>
      <c r="N48" s="257">
        <f>SUM(B48:M48)</f>
        <v>0</v>
      </c>
      <c r="O48" s="255"/>
      <c r="P48" s="255"/>
      <c r="Q48" s="255"/>
      <c r="R48" s="251"/>
      <c r="S48" s="252"/>
      <c r="T48" s="252"/>
      <c r="U48" s="252"/>
      <c r="V48" s="252"/>
      <c r="W48" s="252"/>
      <c r="X48" s="252"/>
    </row>
    <row r="49" spans="1:24" ht="12.75">
      <c r="A49" s="253" t="s">
        <v>185</v>
      </c>
      <c r="B49" s="258">
        <f>SUM(B46:B48)</f>
        <v>0</v>
      </c>
      <c r="C49" s="258">
        <f aca="true" t="shared" si="8" ref="C49:M49">SUM(C46:C48)</f>
        <v>0</v>
      </c>
      <c r="D49" s="258">
        <f t="shared" si="8"/>
        <v>0</v>
      </c>
      <c r="E49" s="258">
        <f t="shared" si="8"/>
        <v>0</v>
      </c>
      <c r="F49" s="258">
        <f t="shared" si="8"/>
        <v>0</v>
      </c>
      <c r="G49" s="258">
        <f t="shared" si="8"/>
        <v>0</v>
      </c>
      <c r="H49" s="258">
        <f t="shared" si="8"/>
        <v>0</v>
      </c>
      <c r="I49" s="258">
        <f t="shared" si="8"/>
        <v>0</v>
      </c>
      <c r="J49" s="258">
        <f t="shared" si="8"/>
        <v>0</v>
      </c>
      <c r="K49" s="258">
        <f t="shared" si="8"/>
        <v>0</v>
      </c>
      <c r="L49" s="258">
        <f t="shared" si="8"/>
        <v>0</v>
      </c>
      <c r="M49" s="258">
        <f t="shared" si="8"/>
        <v>0</v>
      </c>
      <c r="N49" s="255">
        <f>SUM(B49:M49)</f>
        <v>0</v>
      </c>
      <c r="O49" s="255"/>
      <c r="P49" s="255"/>
      <c r="Q49" s="255"/>
      <c r="R49" s="251"/>
      <c r="S49" s="252"/>
      <c r="T49" s="252"/>
      <c r="U49" s="252"/>
      <c r="V49" s="252"/>
      <c r="W49" s="252"/>
      <c r="X49" s="252"/>
    </row>
    <row r="50" spans="1:24" ht="5.25" customHeight="1">
      <c r="A50" s="253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5"/>
      <c r="O50" s="255"/>
      <c r="P50" s="255"/>
      <c r="Q50" s="255"/>
      <c r="R50" s="251"/>
      <c r="S50" s="252"/>
      <c r="T50" s="252"/>
      <c r="U50" s="252"/>
      <c r="V50" s="252"/>
      <c r="W50" s="252"/>
      <c r="X50" s="252"/>
    </row>
    <row r="51" spans="1:24" ht="12.75">
      <c r="A51" s="253" t="s">
        <v>184</v>
      </c>
      <c r="B51" s="258">
        <f>+B39+B44+B49</f>
        <v>887415.4800000001</v>
      </c>
      <c r="C51" s="258">
        <f aca="true" t="shared" si="9" ref="C51:M51">+C39+C44+C49</f>
        <v>714261.2400000001</v>
      </c>
      <c r="D51" s="258">
        <f t="shared" si="9"/>
        <v>885010.56</v>
      </c>
      <c r="E51" s="258">
        <f t="shared" si="9"/>
        <v>829697.4</v>
      </c>
      <c r="F51" s="258">
        <f t="shared" si="9"/>
        <v>887415.4800000001</v>
      </c>
      <c r="G51" s="258">
        <f t="shared" si="9"/>
        <v>829697.4</v>
      </c>
      <c r="H51" s="258">
        <f t="shared" si="9"/>
        <v>887415.4800000001</v>
      </c>
      <c r="I51" s="258">
        <f t="shared" si="9"/>
        <v>887415.4800000001</v>
      </c>
      <c r="J51" s="258">
        <f t="shared" si="9"/>
        <v>829697.4</v>
      </c>
      <c r="K51" s="258">
        <f t="shared" si="9"/>
        <v>887415.4800000001</v>
      </c>
      <c r="L51" s="258">
        <f t="shared" si="9"/>
        <v>829697.4</v>
      </c>
      <c r="M51" s="258">
        <f t="shared" si="9"/>
        <v>887415.4800000001</v>
      </c>
      <c r="N51" s="255">
        <f>SUM(B51:M51)</f>
        <v>10242554.280000003</v>
      </c>
      <c r="O51" s="255"/>
      <c r="P51" s="255"/>
      <c r="Q51" s="255"/>
      <c r="R51" s="251"/>
      <c r="S51" s="252"/>
      <c r="T51" s="252"/>
      <c r="U51" s="252"/>
      <c r="V51" s="252"/>
      <c r="W51" s="252"/>
      <c r="X51" s="252"/>
    </row>
    <row r="52" spans="1:24" ht="12.75">
      <c r="A52" s="253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5"/>
      <c r="O52" s="255"/>
      <c r="P52" s="255"/>
      <c r="Q52" s="255"/>
      <c r="R52" s="251"/>
      <c r="S52" s="252"/>
      <c r="T52" s="252"/>
      <c r="U52" s="252"/>
      <c r="V52" s="252"/>
      <c r="W52" s="252"/>
      <c r="X52" s="252"/>
    </row>
    <row r="53" spans="1:24" ht="12.75">
      <c r="A53" s="269" t="s">
        <v>172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5"/>
      <c r="O53" s="255"/>
      <c r="P53" s="255"/>
      <c r="Q53" s="255"/>
      <c r="R53" s="251"/>
      <c r="S53" s="252"/>
      <c r="T53" s="252"/>
      <c r="U53" s="252"/>
      <c r="V53" s="252"/>
      <c r="W53" s="252"/>
      <c r="X53" s="252"/>
    </row>
    <row r="54" spans="1:24" ht="12.75">
      <c r="A54" s="253" t="s">
        <v>178</v>
      </c>
      <c r="B54" s="258">
        <f>B$32*'Monthly Energy Allocators'!B151*$A$2</f>
        <v>0</v>
      </c>
      <c r="C54" s="258">
        <f>C$32*'Monthly Energy Allocators'!C151*$A$2</f>
        <v>0</v>
      </c>
      <c r="D54" s="258">
        <f>D$32*'Monthly Energy Allocators'!D151*$A$2</f>
        <v>0</v>
      </c>
      <c r="E54" s="258">
        <f>E$32*'Monthly Energy Allocators'!E151*$A$2</f>
        <v>0</v>
      </c>
      <c r="F54" s="258">
        <f>F$32*'Monthly Energy Allocators'!F151*$A$2</f>
        <v>0</v>
      </c>
      <c r="G54" s="258">
        <f>G$32*'Monthly Energy Allocators'!G151*$A$2</f>
        <v>0</v>
      </c>
      <c r="H54" s="258">
        <f>H$32*'Monthly Energy Allocators'!H151*$A$2</f>
        <v>0</v>
      </c>
      <c r="I54" s="258">
        <f>I$32*'Monthly Energy Allocators'!I151*$A$2</f>
        <v>0</v>
      </c>
      <c r="J54" s="258">
        <f>J$32*'Monthly Energy Allocators'!J151*$A$2</f>
        <v>0</v>
      </c>
      <c r="K54" s="258">
        <f>K$32*'Monthly Energy Allocators'!K151*$A$2</f>
        <v>0</v>
      </c>
      <c r="L54" s="258">
        <f>L$32*'Monthly Energy Allocators'!L151*$A$2</f>
        <v>0</v>
      </c>
      <c r="M54" s="258">
        <f>M$32*'Monthly Energy Allocators'!M151*$A$2</f>
        <v>0</v>
      </c>
      <c r="N54" s="255">
        <f>SUM(B54:M54)</f>
        <v>0</v>
      </c>
      <c r="O54" s="255"/>
      <c r="P54" s="255"/>
      <c r="Q54" s="255"/>
      <c r="R54" s="251"/>
      <c r="S54" s="252"/>
      <c r="T54" s="252"/>
      <c r="U54" s="252"/>
      <c r="V54" s="252"/>
      <c r="W54" s="252"/>
      <c r="X54" s="252"/>
    </row>
    <row r="55" spans="1:24" ht="12.75">
      <c r="A55" s="253" t="s">
        <v>179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5"/>
      <c r="O55" s="255"/>
      <c r="P55" s="255"/>
      <c r="Q55" s="255"/>
      <c r="R55" s="251"/>
      <c r="S55" s="252"/>
      <c r="T55" s="252"/>
      <c r="U55" s="252"/>
      <c r="V55" s="252"/>
      <c r="W55" s="252"/>
      <c r="X55" s="252"/>
    </row>
    <row r="56" spans="1:24" ht="12.75">
      <c r="A56" s="253" t="s">
        <v>181</v>
      </c>
      <c r="B56" s="258">
        <f>'BCF Allocation'!$J$32*'BCF Allocation'!$G$36*'Monthly Fuel Cost Allocation'!B$33*$A$2</f>
        <v>0</v>
      </c>
      <c r="C56" s="258">
        <f>'BCF Allocation'!$J$32*'BCF Allocation'!$G$36*'Monthly Fuel Cost Allocation'!C$33*$A$2</f>
        <v>0</v>
      </c>
      <c r="D56" s="258">
        <f>'BCF Allocation'!$J$32*'BCF Allocation'!$G$36*'Monthly Fuel Cost Allocation'!D$33*$A$2</f>
        <v>0</v>
      </c>
      <c r="E56" s="258">
        <f>'BCF Allocation'!$J$32*'BCF Allocation'!$G$36*'Monthly Fuel Cost Allocation'!E$33*$A$2</f>
        <v>0</v>
      </c>
      <c r="F56" s="258">
        <f>'BCF Allocation'!$J$32*'BCF Allocation'!$G$36*'Monthly Fuel Cost Allocation'!F$33*$A$2</f>
        <v>0</v>
      </c>
      <c r="G56" s="258">
        <f>'BCF Allocation'!$J$32*'BCF Allocation'!$G$36*'Monthly Fuel Cost Allocation'!G$33*$A$2</f>
        <v>0</v>
      </c>
      <c r="H56" s="258">
        <f>'BCF Allocation'!$J$32*'BCF Allocation'!$G$36*'Monthly Fuel Cost Allocation'!H$33*$A$2</f>
        <v>0</v>
      </c>
      <c r="I56" s="258">
        <f>'BCF Allocation'!$J$32*'BCF Allocation'!$G$36*'Monthly Fuel Cost Allocation'!I$33*$A$2</f>
        <v>0</v>
      </c>
      <c r="J56" s="258">
        <f>'BCF Allocation'!$J$32*'BCF Allocation'!$G$36*'Monthly Fuel Cost Allocation'!J$33*$A$2</f>
        <v>0</v>
      </c>
      <c r="K56" s="258">
        <f>'BCF Allocation'!$J$32*'BCF Allocation'!$G$36*'Monthly Fuel Cost Allocation'!K$33*$A$2</f>
        <v>0</v>
      </c>
      <c r="L56" s="258">
        <f>'BCF Allocation'!$J$32*'BCF Allocation'!$G$36*'Monthly Fuel Cost Allocation'!L$33*$A$2</f>
        <v>0</v>
      </c>
      <c r="M56" s="258">
        <f>'BCF Allocation'!$J$32*'BCF Allocation'!$G$36*'Monthly Fuel Cost Allocation'!M$33*$A$2</f>
        <v>0</v>
      </c>
      <c r="N56" s="255">
        <f>SUM(B56:M56)</f>
        <v>0</v>
      </c>
      <c r="O56" s="255"/>
      <c r="P56" s="255"/>
      <c r="Q56" s="255"/>
      <c r="R56" s="251"/>
      <c r="S56" s="252"/>
      <c r="T56" s="252"/>
      <c r="U56" s="252"/>
      <c r="V56" s="252"/>
      <c r="W56" s="252"/>
      <c r="X56" s="252"/>
    </row>
    <row r="57" spans="1:24" ht="12.75">
      <c r="A57" s="253" t="s">
        <v>183</v>
      </c>
      <c r="B57" s="258">
        <f>'BCF Allocation'!$M$32*'BCF Allocation'!$K$32*'BCF Allocation'!$G$36*'Monthly Fuel Cost Allocation'!B$33*$A$2</f>
        <v>0</v>
      </c>
      <c r="C57" s="258">
        <f>'BCF Allocation'!$M$32*'BCF Allocation'!$K$32*'BCF Allocation'!$G$36*'Monthly Fuel Cost Allocation'!C$33*$A$2</f>
        <v>0</v>
      </c>
      <c r="D57" s="258">
        <f>'BCF Allocation'!$M$32*'BCF Allocation'!$K$32*'BCF Allocation'!$G$36*'Monthly Fuel Cost Allocation'!D$33*$A$2</f>
        <v>0</v>
      </c>
      <c r="E57" s="258">
        <f>'BCF Allocation'!$M$32*'BCF Allocation'!$K$32*'BCF Allocation'!$G$36*'Monthly Fuel Cost Allocation'!E$33*$A$2</f>
        <v>0</v>
      </c>
      <c r="F57" s="258">
        <f>'BCF Allocation'!$M$32*'BCF Allocation'!$K$32*'BCF Allocation'!$G$36*'Monthly Fuel Cost Allocation'!F$33*$A$2</f>
        <v>0</v>
      </c>
      <c r="G57" s="258">
        <f>'BCF Allocation'!$M$32*'BCF Allocation'!$K$32*'BCF Allocation'!$G$36*'Monthly Fuel Cost Allocation'!G$33*$A$2</f>
        <v>0</v>
      </c>
      <c r="H57" s="258">
        <f>'BCF Allocation'!$M$32*'BCF Allocation'!$K$32*'BCF Allocation'!$G$36*'Monthly Fuel Cost Allocation'!H$33*$A$2</f>
        <v>0</v>
      </c>
      <c r="I57" s="258">
        <f>'BCF Allocation'!$M$32*'BCF Allocation'!$K$32*'BCF Allocation'!$G$36*'Monthly Fuel Cost Allocation'!I$33*$A$2</f>
        <v>0</v>
      </c>
      <c r="J57" s="258">
        <f>'BCF Allocation'!$M$32*'BCF Allocation'!$K$32*'BCF Allocation'!$G$36*'Monthly Fuel Cost Allocation'!J$33*$A$2</f>
        <v>0</v>
      </c>
      <c r="K57" s="258">
        <f>'BCF Allocation'!$M$32*'BCF Allocation'!$K$32*'BCF Allocation'!$G$36*'Monthly Fuel Cost Allocation'!K$33*$A$2</f>
        <v>0</v>
      </c>
      <c r="L57" s="258">
        <f>'BCF Allocation'!$M$32*'BCF Allocation'!$K$32*'BCF Allocation'!$G$36*'Monthly Fuel Cost Allocation'!L$33*$A$2</f>
        <v>0</v>
      </c>
      <c r="M57" s="258">
        <f>'BCF Allocation'!$M$32*'BCF Allocation'!$K$32*'BCF Allocation'!$G$36*'Monthly Fuel Cost Allocation'!M$33*$A$2</f>
        <v>0</v>
      </c>
      <c r="N57" s="255">
        <f>SUM(B57:M57)</f>
        <v>0</v>
      </c>
      <c r="O57" s="255"/>
      <c r="P57" s="255"/>
      <c r="Q57" s="255"/>
      <c r="R57" s="251"/>
      <c r="S57" s="252"/>
      <c r="T57" s="252"/>
      <c r="U57" s="252"/>
      <c r="V57" s="252"/>
      <c r="W57" s="252"/>
      <c r="X57" s="252"/>
    </row>
    <row r="58" spans="1:24" ht="12.75">
      <c r="A58" s="253" t="s">
        <v>182</v>
      </c>
      <c r="B58" s="267">
        <f>'BCF Allocation'!$M$32*'BCF Allocation'!$L$32*'BCF Allocation'!$E$36*'Monthly Fuel Cost Allocation'!B$33*$A$2</f>
        <v>0</v>
      </c>
      <c r="C58" s="267">
        <f>'BCF Allocation'!$M$32*'BCF Allocation'!$L$32*'BCF Allocation'!$E$36*'Monthly Fuel Cost Allocation'!C$33*$A$2</f>
        <v>0</v>
      </c>
      <c r="D58" s="267">
        <f>'BCF Allocation'!$M$32*'BCF Allocation'!$L$32*'BCF Allocation'!$E$36*'Monthly Fuel Cost Allocation'!D$33*$A$2</f>
        <v>0</v>
      </c>
      <c r="E58" s="267">
        <f>'BCF Allocation'!$M$32*'BCF Allocation'!$L$32*'BCF Allocation'!$E$36*'Monthly Fuel Cost Allocation'!E$33*$A$2</f>
        <v>0</v>
      </c>
      <c r="F58" s="267">
        <f>'BCF Allocation'!$M$32*'BCF Allocation'!$L$32*'BCF Allocation'!$E$36*'Monthly Fuel Cost Allocation'!F$33*$A$2</f>
        <v>0</v>
      </c>
      <c r="G58" s="267">
        <f>'BCF Allocation'!$M$32*'BCF Allocation'!$L$32*'BCF Allocation'!$E$36*'Monthly Fuel Cost Allocation'!G$33*$A$2</f>
        <v>0</v>
      </c>
      <c r="H58" s="267">
        <f>'BCF Allocation'!$M$32*'BCF Allocation'!$L$32*'BCF Allocation'!$E$36*'Monthly Fuel Cost Allocation'!H$33*$A$2</f>
        <v>0</v>
      </c>
      <c r="I58" s="267">
        <f>'BCF Allocation'!$M$32*'BCF Allocation'!$L$32*'BCF Allocation'!$E$36*'Monthly Fuel Cost Allocation'!I$33*$A$2</f>
        <v>0</v>
      </c>
      <c r="J58" s="267">
        <f>'BCF Allocation'!$M$32*'BCF Allocation'!$L$32*'BCF Allocation'!$E$36*'Monthly Fuel Cost Allocation'!J$33*$A$2</f>
        <v>0</v>
      </c>
      <c r="K58" s="267">
        <f>'BCF Allocation'!$M$32*'BCF Allocation'!$L$32*'BCF Allocation'!$E$36*'Monthly Fuel Cost Allocation'!K$33*$A$2</f>
        <v>0</v>
      </c>
      <c r="L58" s="267">
        <f>'BCF Allocation'!$M$32*'BCF Allocation'!$L$32*'BCF Allocation'!$E$36*'Monthly Fuel Cost Allocation'!L$33*$A$2</f>
        <v>0</v>
      </c>
      <c r="M58" s="267">
        <f>'BCF Allocation'!$M$32*'BCF Allocation'!$L$32*'BCF Allocation'!$E$36*'Monthly Fuel Cost Allocation'!M$33*$A$2</f>
        <v>0</v>
      </c>
      <c r="N58" s="257">
        <f>SUM(B58:M58)</f>
        <v>0</v>
      </c>
      <c r="O58" s="255"/>
      <c r="P58" s="255"/>
      <c r="Q58" s="255"/>
      <c r="R58" s="251"/>
      <c r="S58" s="252"/>
      <c r="T58" s="252"/>
      <c r="U58" s="252"/>
      <c r="V58" s="252"/>
      <c r="W58" s="252"/>
      <c r="X58" s="252"/>
    </row>
    <row r="59" spans="1:24" ht="12.75">
      <c r="A59" s="253" t="s">
        <v>185</v>
      </c>
      <c r="B59" s="258">
        <f aca="true" t="shared" si="10" ref="B59:M59">SUM(B56:B58)</f>
        <v>0</v>
      </c>
      <c r="C59" s="258">
        <f t="shared" si="10"/>
        <v>0</v>
      </c>
      <c r="D59" s="258">
        <f t="shared" si="10"/>
        <v>0</v>
      </c>
      <c r="E59" s="258">
        <f t="shared" si="10"/>
        <v>0</v>
      </c>
      <c r="F59" s="258">
        <f t="shared" si="10"/>
        <v>0</v>
      </c>
      <c r="G59" s="258">
        <f t="shared" si="10"/>
        <v>0</v>
      </c>
      <c r="H59" s="258">
        <f t="shared" si="10"/>
        <v>0</v>
      </c>
      <c r="I59" s="258">
        <f t="shared" si="10"/>
        <v>0</v>
      </c>
      <c r="J59" s="258">
        <f t="shared" si="10"/>
        <v>0</v>
      </c>
      <c r="K59" s="258">
        <f t="shared" si="10"/>
        <v>0</v>
      </c>
      <c r="L59" s="258">
        <f t="shared" si="10"/>
        <v>0</v>
      </c>
      <c r="M59" s="258">
        <f t="shared" si="10"/>
        <v>0</v>
      </c>
      <c r="N59" s="255">
        <f>SUM(B59:M59)</f>
        <v>0</v>
      </c>
      <c r="O59" s="255"/>
      <c r="P59" s="255"/>
      <c r="Q59" s="255"/>
      <c r="R59" s="251"/>
      <c r="S59" s="252"/>
      <c r="T59" s="252"/>
      <c r="U59" s="252"/>
      <c r="V59" s="252"/>
      <c r="W59" s="252"/>
      <c r="X59" s="252"/>
    </row>
    <row r="60" spans="1:24" ht="12.75">
      <c r="A60" s="253" t="s">
        <v>180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5"/>
      <c r="O60" s="255"/>
      <c r="P60" s="255"/>
      <c r="Q60" s="255"/>
      <c r="R60" s="251"/>
      <c r="S60" s="252"/>
      <c r="T60" s="252"/>
      <c r="U60" s="252"/>
      <c r="V60" s="252"/>
      <c r="W60" s="252"/>
      <c r="X60" s="252"/>
    </row>
    <row r="61" spans="1:24" ht="12.75">
      <c r="A61" s="253" t="s">
        <v>181</v>
      </c>
      <c r="B61" s="258">
        <f>'BCF Allocation'!$O$32*'BCF Allocation'!$G$36*'Monthly Fuel Cost Allocation'!B$34*$A$2</f>
        <v>0</v>
      </c>
      <c r="C61" s="258">
        <f>'BCF Allocation'!$O$32*'BCF Allocation'!$G$36*'Monthly Fuel Cost Allocation'!C$34*$A$2</f>
        <v>0</v>
      </c>
      <c r="D61" s="258">
        <f>'BCF Allocation'!$O$32*'BCF Allocation'!$G$36*'Monthly Fuel Cost Allocation'!D$34*$A$2</f>
        <v>0</v>
      </c>
      <c r="E61" s="258">
        <f>'BCF Allocation'!$O$32*'BCF Allocation'!$G$36*'Monthly Fuel Cost Allocation'!E$34*$A$2</f>
        <v>0</v>
      </c>
      <c r="F61" s="258">
        <f>'BCF Allocation'!$O$32*'BCF Allocation'!$G$36*'Monthly Fuel Cost Allocation'!F$34*$A$2</f>
        <v>0</v>
      </c>
      <c r="G61" s="258">
        <f>'BCF Allocation'!$O$32*'BCF Allocation'!$G$36*'Monthly Fuel Cost Allocation'!G$34*$A$2</f>
        <v>0</v>
      </c>
      <c r="H61" s="258">
        <f>'BCF Allocation'!$O$32*'BCF Allocation'!$G$36*'Monthly Fuel Cost Allocation'!H$34*$A$2</f>
        <v>0</v>
      </c>
      <c r="I61" s="258">
        <f>'BCF Allocation'!$O$32*'BCF Allocation'!$G$36*'Monthly Fuel Cost Allocation'!I$34*$A$2</f>
        <v>0</v>
      </c>
      <c r="J61" s="258">
        <f>'BCF Allocation'!$O$32*'BCF Allocation'!$G$36*'Monthly Fuel Cost Allocation'!J$34*$A$2</f>
        <v>0</v>
      </c>
      <c r="K61" s="258">
        <f>'BCF Allocation'!$O$32*'BCF Allocation'!$G$36*'Monthly Fuel Cost Allocation'!K$34*$A$2</f>
        <v>0</v>
      </c>
      <c r="L61" s="258">
        <f>'BCF Allocation'!$O$32*'BCF Allocation'!$G$36*'Monthly Fuel Cost Allocation'!L$34*$A$2</f>
        <v>0</v>
      </c>
      <c r="M61" s="258">
        <f>'BCF Allocation'!$O$32*'BCF Allocation'!$G$36*'Monthly Fuel Cost Allocation'!M$34*$A$2</f>
        <v>0</v>
      </c>
      <c r="N61" s="255">
        <f>SUM(B61:M61)</f>
        <v>0</v>
      </c>
      <c r="O61" s="255"/>
      <c r="P61" s="255"/>
      <c r="Q61" s="255"/>
      <c r="R61" s="251"/>
      <c r="S61" s="252"/>
      <c r="T61" s="252"/>
      <c r="U61" s="252"/>
      <c r="V61" s="252"/>
      <c r="W61" s="252"/>
      <c r="X61" s="252"/>
    </row>
    <row r="62" spans="1:24" ht="12.75">
      <c r="A62" s="253" t="s">
        <v>183</v>
      </c>
      <c r="B62" s="258">
        <f>'BCF Allocation'!$R$32*'BCF Allocation'!$P$32*'BCF Allocation'!$G$36*'Monthly Fuel Cost Allocation'!B$34*$A$2</f>
        <v>0</v>
      </c>
      <c r="C62" s="258">
        <f>'BCF Allocation'!$R$32*'BCF Allocation'!$P$32*'BCF Allocation'!$G$36*'Monthly Fuel Cost Allocation'!C$34*$A$2</f>
        <v>0</v>
      </c>
      <c r="D62" s="258">
        <f>'BCF Allocation'!$R$32*'BCF Allocation'!$P$32*'BCF Allocation'!$G$36*'Monthly Fuel Cost Allocation'!D$34*$A$2</f>
        <v>0</v>
      </c>
      <c r="E62" s="258">
        <f>'BCF Allocation'!$R$32*'BCF Allocation'!$P$32*'BCF Allocation'!$G$36*'Monthly Fuel Cost Allocation'!E$34*$A$2</f>
        <v>0</v>
      </c>
      <c r="F62" s="258">
        <f>'BCF Allocation'!$R$32*'BCF Allocation'!$P$32*'BCF Allocation'!$G$36*'Monthly Fuel Cost Allocation'!F$34*$A$2</f>
        <v>0</v>
      </c>
      <c r="G62" s="258">
        <f>'BCF Allocation'!$R$32*'BCF Allocation'!$P$32*'BCF Allocation'!$G$36*'Monthly Fuel Cost Allocation'!G$34*$A$2</f>
        <v>0</v>
      </c>
      <c r="H62" s="258">
        <f>'BCF Allocation'!$R$32*'BCF Allocation'!$P$32*'BCF Allocation'!$G$36*'Monthly Fuel Cost Allocation'!H$34*$A$2</f>
        <v>0</v>
      </c>
      <c r="I62" s="258">
        <f>'BCF Allocation'!$R$32*'BCF Allocation'!$P$32*'BCF Allocation'!$G$36*'Monthly Fuel Cost Allocation'!I$34*$A$2</f>
        <v>0</v>
      </c>
      <c r="J62" s="258">
        <f>'BCF Allocation'!$R$32*'BCF Allocation'!$P$32*'BCF Allocation'!$G$36*'Monthly Fuel Cost Allocation'!J$34*$A$2</f>
        <v>0</v>
      </c>
      <c r="K62" s="258">
        <f>'BCF Allocation'!$R$32*'BCF Allocation'!$P$32*'BCF Allocation'!$G$36*'Monthly Fuel Cost Allocation'!K$34*$A$2</f>
        <v>0</v>
      </c>
      <c r="L62" s="258">
        <f>'BCF Allocation'!$R$32*'BCF Allocation'!$P$32*'BCF Allocation'!$G$36*'Monthly Fuel Cost Allocation'!L$34*$A$2</f>
        <v>0</v>
      </c>
      <c r="M62" s="258">
        <f>'BCF Allocation'!$R$32*'BCF Allocation'!$P$32*'BCF Allocation'!$G$36*'Monthly Fuel Cost Allocation'!M$34*$A$2</f>
        <v>0</v>
      </c>
      <c r="N62" s="255">
        <f>SUM(B62:M62)</f>
        <v>0</v>
      </c>
      <c r="O62" s="255"/>
      <c r="P62" s="255"/>
      <c r="Q62" s="255"/>
      <c r="R62" s="251"/>
      <c r="S62" s="252"/>
      <c r="T62" s="252"/>
      <c r="U62" s="252"/>
      <c r="V62" s="252"/>
      <c r="W62" s="252"/>
      <c r="X62" s="252"/>
    </row>
    <row r="63" spans="1:24" ht="12.75">
      <c r="A63" s="253" t="s">
        <v>182</v>
      </c>
      <c r="B63" s="267">
        <f>'BCF Allocation'!$R$32*'BCF Allocation'!$Q$32*'BCF Allocation'!$E$36*'Monthly Fuel Cost Allocation'!B$34*$A$2</f>
        <v>0</v>
      </c>
      <c r="C63" s="267">
        <f>'BCF Allocation'!$R$32*'BCF Allocation'!$Q$32*'BCF Allocation'!$E$36*'Monthly Fuel Cost Allocation'!C$34*$A$2</f>
        <v>0</v>
      </c>
      <c r="D63" s="267">
        <f>'BCF Allocation'!$R$32*'BCF Allocation'!$Q$32*'BCF Allocation'!$E$36*'Monthly Fuel Cost Allocation'!D$34*$A$2</f>
        <v>0</v>
      </c>
      <c r="E63" s="267">
        <f>'BCF Allocation'!$R$32*'BCF Allocation'!$Q$32*'BCF Allocation'!$E$36*'Monthly Fuel Cost Allocation'!E$34*$A$2</f>
        <v>0</v>
      </c>
      <c r="F63" s="267">
        <f>'BCF Allocation'!$R$32*'BCF Allocation'!$Q$32*'BCF Allocation'!$E$36*'Monthly Fuel Cost Allocation'!F$34*$A$2</f>
        <v>0</v>
      </c>
      <c r="G63" s="267">
        <f>'BCF Allocation'!$R$32*'BCF Allocation'!$Q$32*'BCF Allocation'!$E$36*'Monthly Fuel Cost Allocation'!G$34*$A$2</f>
        <v>0</v>
      </c>
      <c r="H63" s="267">
        <f>'BCF Allocation'!$R$32*'BCF Allocation'!$Q$32*'BCF Allocation'!$E$36*'Monthly Fuel Cost Allocation'!H$34*$A$2</f>
        <v>0</v>
      </c>
      <c r="I63" s="267">
        <f>'BCF Allocation'!$R$32*'BCF Allocation'!$Q$32*'BCF Allocation'!$E$36*'Monthly Fuel Cost Allocation'!I$34*$A$2</f>
        <v>0</v>
      </c>
      <c r="J63" s="267">
        <f>'BCF Allocation'!$R$32*'BCF Allocation'!$Q$32*'BCF Allocation'!$E$36*'Monthly Fuel Cost Allocation'!J$34*$A$2</f>
        <v>0</v>
      </c>
      <c r="K63" s="267">
        <f>'BCF Allocation'!$R$32*'BCF Allocation'!$Q$32*'BCF Allocation'!$E$36*'Monthly Fuel Cost Allocation'!K$34*$A$2</f>
        <v>0</v>
      </c>
      <c r="L63" s="267">
        <f>'BCF Allocation'!$R$32*'BCF Allocation'!$Q$32*'BCF Allocation'!$E$36*'Monthly Fuel Cost Allocation'!L$34*$A$2</f>
        <v>0</v>
      </c>
      <c r="M63" s="267">
        <f>'BCF Allocation'!$R$32*'BCF Allocation'!$Q$32*'BCF Allocation'!$E$36*'Monthly Fuel Cost Allocation'!M$34*$A$2</f>
        <v>0</v>
      </c>
      <c r="N63" s="257">
        <f>SUM(B63:M63)</f>
        <v>0</v>
      </c>
      <c r="O63" s="255"/>
      <c r="P63" s="255"/>
      <c r="Q63" s="255"/>
      <c r="R63" s="251"/>
      <c r="S63" s="252"/>
      <c r="T63" s="252"/>
      <c r="U63" s="252"/>
      <c r="V63" s="252"/>
      <c r="W63" s="252"/>
      <c r="X63" s="252"/>
    </row>
    <row r="64" spans="1:24" ht="12.75">
      <c r="A64" s="253" t="s">
        <v>185</v>
      </c>
      <c r="B64" s="258">
        <f aca="true" t="shared" si="11" ref="B64:M64">SUM(B61:B63)</f>
        <v>0</v>
      </c>
      <c r="C64" s="258">
        <f t="shared" si="11"/>
        <v>0</v>
      </c>
      <c r="D64" s="258">
        <f t="shared" si="11"/>
        <v>0</v>
      </c>
      <c r="E64" s="258">
        <f t="shared" si="11"/>
        <v>0</v>
      </c>
      <c r="F64" s="258">
        <f t="shared" si="11"/>
        <v>0</v>
      </c>
      <c r="G64" s="258">
        <f t="shared" si="11"/>
        <v>0</v>
      </c>
      <c r="H64" s="258">
        <f t="shared" si="11"/>
        <v>0</v>
      </c>
      <c r="I64" s="258">
        <f t="shared" si="11"/>
        <v>0</v>
      </c>
      <c r="J64" s="258">
        <f t="shared" si="11"/>
        <v>0</v>
      </c>
      <c r="K64" s="258">
        <f t="shared" si="11"/>
        <v>0</v>
      </c>
      <c r="L64" s="258">
        <f t="shared" si="11"/>
        <v>0</v>
      </c>
      <c r="M64" s="258">
        <f t="shared" si="11"/>
        <v>0</v>
      </c>
      <c r="N64" s="255">
        <f>SUM(B64:M64)</f>
        <v>0</v>
      </c>
      <c r="O64" s="255"/>
      <c r="P64" s="255"/>
      <c r="Q64" s="255"/>
      <c r="R64" s="251"/>
      <c r="S64" s="252"/>
      <c r="T64" s="252"/>
      <c r="U64" s="252"/>
      <c r="V64" s="252"/>
      <c r="W64" s="252"/>
      <c r="X64" s="252"/>
    </row>
    <row r="65" spans="1:24" ht="5.25" customHeight="1">
      <c r="A65" s="253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5"/>
      <c r="O65" s="255"/>
      <c r="P65" s="255"/>
      <c r="Q65" s="255"/>
      <c r="R65" s="251"/>
      <c r="S65" s="252"/>
      <c r="T65" s="252"/>
      <c r="U65" s="252"/>
      <c r="V65" s="252"/>
      <c r="W65" s="252"/>
      <c r="X65" s="252"/>
    </row>
    <row r="66" spans="1:24" ht="12.75">
      <c r="A66" s="253" t="s">
        <v>184</v>
      </c>
      <c r="B66" s="258">
        <f>+B54+B59+B64</f>
        <v>0</v>
      </c>
      <c r="C66" s="258">
        <f aca="true" t="shared" si="12" ref="C66:M66">+C54+C59+C64</f>
        <v>0</v>
      </c>
      <c r="D66" s="258">
        <f t="shared" si="12"/>
        <v>0</v>
      </c>
      <c r="E66" s="258">
        <f t="shared" si="12"/>
        <v>0</v>
      </c>
      <c r="F66" s="258">
        <f t="shared" si="12"/>
        <v>0</v>
      </c>
      <c r="G66" s="258">
        <f t="shared" si="12"/>
        <v>0</v>
      </c>
      <c r="H66" s="258">
        <f t="shared" si="12"/>
        <v>0</v>
      </c>
      <c r="I66" s="258">
        <f t="shared" si="12"/>
        <v>0</v>
      </c>
      <c r="J66" s="258">
        <f t="shared" si="12"/>
        <v>0</v>
      </c>
      <c r="K66" s="258">
        <f t="shared" si="12"/>
        <v>0</v>
      </c>
      <c r="L66" s="258">
        <f t="shared" si="12"/>
        <v>0</v>
      </c>
      <c r="M66" s="258">
        <f t="shared" si="12"/>
        <v>0</v>
      </c>
      <c r="N66" s="255">
        <f>SUM(B66:M66)</f>
        <v>0</v>
      </c>
      <c r="O66" s="255"/>
      <c r="P66" s="255"/>
      <c r="Q66" s="255"/>
      <c r="R66" s="251"/>
      <c r="S66" s="252"/>
      <c r="T66" s="252"/>
      <c r="U66" s="252"/>
      <c r="V66" s="252"/>
      <c r="W66" s="252"/>
      <c r="X66" s="252"/>
    </row>
    <row r="67" spans="1:24" ht="12.75">
      <c r="A67" s="253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5"/>
      <c r="O67" s="255"/>
      <c r="P67" s="255"/>
      <c r="Q67" s="255"/>
      <c r="R67" s="251"/>
      <c r="S67" s="252"/>
      <c r="T67" s="252"/>
      <c r="U67" s="252"/>
      <c r="V67" s="252"/>
      <c r="W67" s="252"/>
      <c r="X67" s="252"/>
    </row>
    <row r="68" spans="1:24" ht="12.75">
      <c r="A68" s="253" t="s">
        <v>186</v>
      </c>
      <c r="B68" s="258">
        <f>+B51+B66</f>
        <v>887415.4800000001</v>
      </c>
      <c r="C68" s="258">
        <f aca="true" t="shared" si="13" ref="C68:M68">+C51+C66</f>
        <v>714261.2400000001</v>
      </c>
      <c r="D68" s="258">
        <f t="shared" si="13"/>
        <v>885010.56</v>
      </c>
      <c r="E68" s="258">
        <f t="shared" si="13"/>
        <v>829697.4</v>
      </c>
      <c r="F68" s="258">
        <f t="shared" si="13"/>
        <v>887415.4800000001</v>
      </c>
      <c r="G68" s="258">
        <f t="shared" si="13"/>
        <v>829697.4</v>
      </c>
      <c r="H68" s="258">
        <f t="shared" si="13"/>
        <v>887415.4800000001</v>
      </c>
      <c r="I68" s="258">
        <f t="shared" si="13"/>
        <v>887415.4800000001</v>
      </c>
      <c r="J68" s="258">
        <f t="shared" si="13"/>
        <v>829697.4</v>
      </c>
      <c r="K68" s="258">
        <f t="shared" si="13"/>
        <v>887415.4800000001</v>
      </c>
      <c r="L68" s="258">
        <f t="shared" si="13"/>
        <v>829697.4</v>
      </c>
      <c r="M68" s="258">
        <f t="shared" si="13"/>
        <v>887415.4800000001</v>
      </c>
      <c r="N68" s="255">
        <f>SUM(B68:M68)</f>
        <v>10242554.280000003</v>
      </c>
      <c r="O68" s="255"/>
      <c r="P68" s="255"/>
      <c r="Q68" s="255"/>
      <c r="R68" s="251"/>
      <c r="S68" s="252"/>
      <c r="T68" s="252"/>
      <c r="U68" s="252"/>
      <c r="V68" s="252"/>
      <c r="W68" s="252"/>
      <c r="X68" s="252"/>
    </row>
    <row r="69" spans="1:24" ht="12.75">
      <c r="A69" s="262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5"/>
      <c r="O69" s="255"/>
      <c r="P69" s="255"/>
      <c r="Q69" s="255"/>
      <c r="R69" s="251"/>
      <c r="S69" s="252"/>
      <c r="T69" s="252"/>
      <c r="U69" s="252"/>
      <c r="V69" s="252"/>
      <c r="W69" s="252"/>
      <c r="X69" s="252"/>
    </row>
    <row r="70" spans="1:24" ht="15.75">
      <c r="A70" s="259" t="s">
        <v>62</v>
      </c>
      <c r="B70" s="258">
        <f>B32-B39-B54</f>
        <v>53853918.895721205</v>
      </c>
      <c r="C70" s="258">
        <f aca="true" t="shared" si="14" ref="C70:L70">C32-C39-C54</f>
        <v>47043586.07352247</v>
      </c>
      <c r="D70" s="258">
        <f t="shared" si="14"/>
        <v>40932190.09697349</v>
      </c>
      <c r="E70" s="258">
        <f t="shared" si="14"/>
        <v>31750775.810451265</v>
      </c>
      <c r="F70" s="258">
        <f t="shared" si="14"/>
        <v>28929396.667311423</v>
      </c>
      <c r="G70" s="258">
        <f t="shared" si="14"/>
        <v>34742753.90823327</v>
      </c>
      <c r="H70" s="258">
        <f t="shared" si="14"/>
        <v>34564630.847592175</v>
      </c>
      <c r="I70" s="258">
        <f t="shared" si="14"/>
        <v>37596179.4886872</v>
      </c>
      <c r="J70" s="258">
        <f t="shared" si="14"/>
        <v>28621163.410434447</v>
      </c>
      <c r="K70" s="258">
        <f t="shared" si="14"/>
        <v>31484690.97128807</v>
      </c>
      <c r="L70" s="258">
        <f t="shared" si="14"/>
        <v>32124586.336916465</v>
      </c>
      <c r="M70" s="258">
        <f>M32-M39-M54</f>
        <v>36820865.20691706</v>
      </c>
      <c r="N70" s="255">
        <f>SUM(B70:M70)</f>
        <v>438464737.71404856</v>
      </c>
      <c r="O70" s="255"/>
      <c r="P70" s="255"/>
      <c r="Q70" s="255"/>
      <c r="R70" s="251"/>
      <c r="S70" s="252"/>
      <c r="T70" s="252"/>
      <c r="U70" s="252"/>
      <c r="V70" s="252"/>
      <c r="W70" s="252"/>
      <c r="X70" s="252"/>
    </row>
    <row r="72" ht="15.75">
      <c r="A72" s="270" t="s">
        <v>63</v>
      </c>
    </row>
    <row r="73" spans="1:17" ht="12.75">
      <c r="A73" s="271" t="s">
        <v>54</v>
      </c>
      <c r="B73" s="258">
        <f>+B$70*'Monthly Energy Allocators'!B137</f>
        <v>25074030.682262015</v>
      </c>
      <c r="C73" s="258">
        <f>+C$70*'Monthly Energy Allocators'!C137</f>
        <v>21548940.197452907</v>
      </c>
      <c r="D73" s="258">
        <f>+D$70*'Monthly Energy Allocators'!D137</f>
        <v>17805551.807341356</v>
      </c>
      <c r="E73" s="258">
        <f>+E$70*'Monthly Energy Allocators'!E137</f>
        <v>12715805.382506473</v>
      </c>
      <c r="F73" s="258">
        <f>+F$70*'Monthly Energy Allocators'!F137</f>
        <v>10938886.70320575</v>
      </c>
      <c r="G73" s="258">
        <f>+G$70*'Monthly Energy Allocators'!G137</f>
        <v>11652470.353287717</v>
      </c>
      <c r="H73" s="258">
        <f>+H$70*'Monthly Energy Allocators'!H137</f>
        <v>11074507.421315879</v>
      </c>
      <c r="I73" s="258">
        <f>+I$70*'Monthly Energy Allocators'!I137</f>
        <v>12150083.036911637</v>
      </c>
      <c r="J73" s="258">
        <f>+J$70*'Monthly Energy Allocators'!J137</f>
        <v>10198679.127830012</v>
      </c>
      <c r="K73" s="258">
        <f>+K$70*'Monthly Energy Allocators'!K137</f>
        <v>12894174.134526968</v>
      </c>
      <c r="L73" s="258">
        <f>+L$70*'Monthly Energy Allocators'!L137</f>
        <v>14232457.302668802</v>
      </c>
      <c r="M73" s="258">
        <f>+M$70*'Monthly Energy Allocators'!M137</f>
        <v>18395014.503579028</v>
      </c>
      <c r="N73" s="272">
        <f>SUM(B73:M73)</f>
        <v>178680600.65288854</v>
      </c>
      <c r="O73" s="272"/>
      <c r="P73" s="272"/>
      <c r="Q73" s="272"/>
    </row>
    <row r="74" spans="1:17" ht="12.75">
      <c r="A74" s="271" t="s">
        <v>46</v>
      </c>
      <c r="B74" s="258">
        <f>+B$70*'Monthly Energy Allocators'!B138</f>
        <v>1205566.6397647948</v>
      </c>
      <c r="C74" s="258">
        <f>+C$70*'Monthly Energy Allocators'!C138</f>
        <v>1090056.8581718723</v>
      </c>
      <c r="D74" s="258">
        <f>+D$70*'Monthly Energy Allocators'!D138</f>
        <v>962981.1490449965</v>
      </c>
      <c r="E74" s="258">
        <f>+E$70*'Monthly Energy Allocators'!E138</f>
        <v>692248.9261376187</v>
      </c>
      <c r="F74" s="258">
        <f>+F$70*'Monthly Energy Allocators'!F138</f>
        <v>650420.3829697558</v>
      </c>
      <c r="G74" s="258">
        <f>+G$70*'Monthly Energy Allocators'!G138</f>
        <v>723214.4394449791</v>
      </c>
      <c r="H74" s="258">
        <f>+H$70*'Monthly Energy Allocators'!H138</f>
        <v>736093.074617077</v>
      </c>
      <c r="I74" s="258">
        <f>+I$70*'Monthly Energy Allocators'!I138</f>
        <v>807848.6600334613</v>
      </c>
      <c r="J74" s="258">
        <f>+J$70*'Monthly Energy Allocators'!J138</f>
        <v>678456.8942197436</v>
      </c>
      <c r="K74" s="258">
        <f>+K$70*'Monthly Energy Allocators'!K138</f>
        <v>776877.3340670825</v>
      </c>
      <c r="L74" s="258">
        <f>+L$70*'Monthly Energy Allocators'!L138</f>
        <v>717151.758169421</v>
      </c>
      <c r="M74" s="258">
        <f>+M$70*'Monthly Energy Allocators'!M138</f>
        <v>858463.0266015711</v>
      </c>
      <c r="N74" s="272">
        <f aca="true" t="shared" si="15" ref="N74:N82">SUM(B74:M74)</f>
        <v>9899379.143242374</v>
      </c>
      <c r="O74" s="272"/>
      <c r="P74" s="272"/>
      <c r="Q74" s="272"/>
    </row>
    <row r="75" spans="1:17" ht="12.75">
      <c r="A75" s="271" t="s">
        <v>47</v>
      </c>
      <c r="B75" s="258">
        <f>+B$70*'Monthly Energy Allocators'!B139</f>
        <v>11169554.045235265</v>
      </c>
      <c r="C75" s="258">
        <f>+C$70*'Monthly Energy Allocators'!C139</f>
        <v>10002804.184291515</v>
      </c>
      <c r="D75" s="258">
        <f>+D$70*'Monthly Energy Allocators'!D139</f>
        <v>8580502.962863747</v>
      </c>
      <c r="E75" s="258">
        <f>+E$70*'Monthly Energy Allocators'!E139</f>
        <v>6608024.283644946</v>
      </c>
      <c r="F75" s="258">
        <f>+F$70*'Monthly Energy Allocators'!F139</f>
        <v>6128799.195458446</v>
      </c>
      <c r="G75" s="258">
        <f>+G$70*'Monthly Energy Allocators'!G139</f>
        <v>7927888.844179463</v>
      </c>
      <c r="H75" s="258">
        <f>+H$70*'Monthly Energy Allocators'!H139</f>
        <v>8069034.691181277</v>
      </c>
      <c r="I75" s="258">
        <f>+I$70*'Monthly Energy Allocators'!I139</f>
        <v>8605208.306961074</v>
      </c>
      <c r="J75" s="258">
        <f>+J$70*'Monthly Energy Allocators'!J139</f>
        <v>6860429.352824217</v>
      </c>
      <c r="K75" s="258">
        <f>+K$70*'Monthly Energy Allocators'!K139</f>
        <v>8359004.303451649</v>
      </c>
      <c r="L75" s="258">
        <f>+L$70*'Monthly Energy Allocators'!L139</f>
        <v>7884771.297468458</v>
      </c>
      <c r="M75" s="258">
        <f>+M$70*'Monthly Energy Allocators'!M139</f>
        <v>8573129.606375536</v>
      </c>
      <c r="N75" s="272">
        <f t="shared" si="15"/>
        <v>98769151.07393558</v>
      </c>
      <c r="O75" s="272"/>
      <c r="P75" s="272"/>
      <c r="Q75" s="272"/>
    </row>
    <row r="76" spans="1:17" ht="12.75">
      <c r="A76" s="271" t="s">
        <v>48</v>
      </c>
      <c r="B76" s="258">
        <f>+B$70*'Monthly Energy Allocators'!B140</f>
        <v>1628245.2743382084</v>
      </c>
      <c r="C76" s="258">
        <f>+C$70*'Monthly Energy Allocators'!C140</f>
        <v>1348352.1129798526</v>
      </c>
      <c r="D76" s="258">
        <f>+D$70*'Monthly Energy Allocators'!D140</f>
        <v>1397864.5822322383</v>
      </c>
      <c r="E76" s="258">
        <f>+E$70*'Monthly Energy Allocators'!E140</f>
        <v>1107551.9282455444</v>
      </c>
      <c r="F76" s="258">
        <f>+F$70*'Monthly Energy Allocators'!F140</f>
        <v>1076280.5259047828</v>
      </c>
      <c r="G76" s="258">
        <f>+G$70*'Monthly Energy Allocators'!G140</f>
        <v>1386237.961106961</v>
      </c>
      <c r="H76" s="258">
        <f>+H$70*'Monthly Energy Allocators'!H140</f>
        <v>1567762.6864149014</v>
      </c>
      <c r="I76" s="258">
        <f>+I$70*'Monthly Energy Allocators'!I140</f>
        <v>1751759.8954350401</v>
      </c>
      <c r="J76" s="258">
        <f>+J$70*'Monthly Energy Allocators'!J140</f>
        <v>1347693.9487530955</v>
      </c>
      <c r="K76" s="258">
        <f>+K$70*'Monthly Energy Allocators'!K140</f>
        <v>1489579.8575212737</v>
      </c>
      <c r="L76" s="258">
        <f>+L$70*'Monthly Energy Allocators'!L140</f>
        <v>1310395.19919418</v>
      </c>
      <c r="M76" s="258">
        <f>+M$70*'Monthly Energy Allocators'!M140</f>
        <v>1243635.2624631764</v>
      </c>
      <c r="N76" s="272">
        <f t="shared" si="15"/>
        <v>16655359.234589254</v>
      </c>
      <c r="O76" s="272"/>
      <c r="P76" s="272"/>
      <c r="Q76" s="272"/>
    </row>
    <row r="77" spans="1:17" ht="12.75">
      <c r="A77" s="271" t="s">
        <v>49</v>
      </c>
      <c r="B77" s="258">
        <f>+B$70*'Monthly Energy Allocators'!B141</f>
        <v>1100400.8428675465</v>
      </c>
      <c r="C77" s="258">
        <f>+C$70*'Monthly Energy Allocators'!C141</f>
        <v>965190.5844059938</v>
      </c>
      <c r="D77" s="258">
        <f>+D$70*'Monthly Energy Allocators'!D141</f>
        <v>888768.1138415686</v>
      </c>
      <c r="E77" s="258">
        <f>+E$70*'Monthly Energy Allocators'!E141</f>
        <v>687800.3819963455</v>
      </c>
      <c r="F77" s="258">
        <f>+F$70*'Monthly Energy Allocators'!F141</f>
        <v>670048.9338074918</v>
      </c>
      <c r="G77" s="258">
        <f>+G$70*'Monthly Energy Allocators'!G141</f>
        <v>851428.7472669181</v>
      </c>
      <c r="H77" s="258">
        <f>+H$70*'Monthly Energy Allocators'!H141</f>
        <v>951361.6517033433</v>
      </c>
      <c r="I77" s="258">
        <f>+I$70*'Monthly Energy Allocators'!I141</f>
        <v>856357.289863298</v>
      </c>
      <c r="J77" s="258">
        <f>+J$70*'Monthly Energy Allocators'!J141</f>
        <v>802283.4350691332</v>
      </c>
      <c r="K77" s="258">
        <f>+K$70*'Monthly Energy Allocators'!K141</f>
        <v>705266.0943220176</v>
      </c>
      <c r="L77" s="258">
        <f>+L$70*'Monthly Energy Allocators'!L141</f>
        <v>817498.2924678285</v>
      </c>
      <c r="M77" s="258">
        <f>+M$70*'Monthly Energy Allocators'!M141</f>
        <v>898264.9256843193</v>
      </c>
      <c r="N77" s="272">
        <f t="shared" si="15"/>
        <v>10194669.293295804</v>
      </c>
      <c r="O77" s="272"/>
      <c r="P77" s="272"/>
      <c r="Q77" s="272"/>
    </row>
    <row r="78" spans="1:17" ht="12.75">
      <c r="A78" s="271" t="s">
        <v>50</v>
      </c>
      <c r="B78" s="258">
        <f>+B$70*'Monthly Energy Allocators'!B142</f>
        <v>1711303.831842482</v>
      </c>
      <c r="C78" s="258">
        <f>+C$70*'Monthly Energy Allocators'!C142</f>
        <v>1677821.5027286839</v>
      </c>
      <c r="D78" s="258">
        <f>+D$70*'Monthly Energy Allocators'!D142</f>
        <v>1611616.4006386804</v>
      </c>
      <c r="E78" s="258">
        <f>+E$70*'Monthly Energy Allocators'!E142</f>
        <v>1430367.291926143</v>
      </c>
      <c r="F78" s="258">
        <f>+F$70*'Monthly Energy Allocators'!F142</f>
        <v>1225350.4134734822</v>
      </c>
      <c r="G78" s="258">
        <f>+G$70*'Monthly Energy Allocators'!G142</f>
        <v>1737244.759187955</v>
      </c>
      <c r="H78" s="258">
        <f>+H$70*'Monthly Energy Allocators'!H142</f>
        <v>1698539.8955617268</v>
      </c>
      <c r="I78" s="258">
        <f>+I$70*'Monthly Energy Allocators'!I142</f>
        <v>1805848.3838185458</v>
      </c>
      <c r="J78" s="258">
        <f>+J$70*'Monthly Energy Allocators'!J142</f>
        <v>1614467.0225772765</v>
      </c>
      <c r="K78" s="258">
        <f>+K$70*'Monthly Energy Allocators'!K142</f>
        <v>1767986.3283493246</v>
      </c>
      <c r="L78" s="258">
        <f>+L$70*'Monthly Energy Allocators'!L142</f>
        <v>1615076.9705223115</v>
      </c>
      <c r="M78" s="258">
        <f>+M$70*'Monthly Energy Allocators'!M142</f>
        <v>1558926.0497444079</v>
      </c>
      <c r="N78" s="272">
        <f t="shared" si="15"/>
        <v>19454548.85037102</v>
      </c>
      <c r="O78" s="272"/>
      <c r="P78" s="272"/>
      <c r="Q78" s="272"/>
    </row>
    <row r="79" spans="1:17" ht="12.75">
      <c r="A79" s="271" t="s">
        <v>51</v>
      </c>
      <c r="B79" s="258">
        <f>+B$70*'Monthly Energy Allocators'!B143</f>
        <v>3506585.719594054</v>
      </c>
      <c r="C79" s="258">
        <f>+C$70*'Monthly Energy Allocators'!C143</f>
        <v>3113794.764055824</v>
      </c>
      <c r="D79" s="258">
        <f>+D$70*'Monthly Energy Allocators'!D143</f>
        <v>2851511.3272634866</v>
      </c>
      <c r="E79" s="258">
        <f>+E$70*'Monthly Energy Allocators'!E143</f>
        <v>2539388.088861752</v>
      </c>
      <c r="F79" s="258">
        <f>+F$70*'Monthly Energy Allocators'!F143</f>
        <v>2441766.946355812</v>
      </c>
      <c r="G79" s="258">
        <f>+G$70*'Monthly Energy Allocators'!G143</f>
        <v>3220422.3532004226</v>
      </c>
      <c r="H79" s="258">
        <f>+H$70*'Monthly Energy Allocators'!H143</f>
        <v>3129904.089049428</v>
      </c>
      <c r="I79" s="258">
        <f>+I$70*'Monthly Energy Allocators'!I143</f>
        <v>3550785.829573729</v>
      </c>
      <c r="J79" s="258">
        <f>+J$70*'Monthly Energy Allocators'!J143</f>
        <v>3022478.676430297</v>
      </c>
      <c r="K79" s="258">
        <f>+K$70*'Monthly Energy Allocators'!K143</f>
        <v>3245743.567538928</v>
      </c>
      <c r="L79" s="258">
        <f>+L$70*'Monthly Energy Allocators'!L143</f>
        <v>3080707.3560949718</v>
      </c>
      <c r="M79" s="258">
        <f>+M$70*'Monthly Energy Allocators'!M143</f>
        <v>2761684.6878859536</v>
      </c>
      <c r="N79" s="272">
        <f t="shared" si="15"/>
        <v>36464773.40590466</v>
      </c>
      <c r="O79" s="272"/>
      <c r="P79" s="272"/>
      <c r="Q79" s="272"/>
    </row>
    <row r="80" spans="1:17" ht="12.75">
      <c r="A80" s="271" t="s">
        <v>55</v>
      </c>
      <c r="B80" s="258">
        <f>+B$70*'Monthly Energy Allocators'!B144</f>
        <v>7095914.63913322</v>
      </c>
      <c r="C80" s="258">
        <f>+C$70*'Monthly Energy Allocators'!C144</f>
        <v>6055112.444273063</v>
      </c>
      <c r="D80" s="258">
        <f>+D$70*'Monthly Energy Allocators'!D144</f>
        <v>5721066.069462532</v>
      </c>
      <c r="E80" s="258">
        <f>+E$70*'Monthly Energy Allocators'!E144</f>
        <v>5109637.799617691</v>
      </c>
      <c r="F80" s="258">
        <f>+F$70*'Monthly Energy Allocators'!F144</f>
        <v>5014082.41355922</v>
      </c>
      <c r="G80" s="258">
        <f>+G$70*'Monthly Energy Allocators'!G144</f>
        <v>6335424.62069315</v>
      </c>
      <c r="H80" s="258">
        <f>+H$70*'Monthly Energy Allocators'!H144</f>
        <v>6397466.331700574</v>
      </c>
      <c r="I80" s="258">
        <f>+I$70*'Monthly Energy Allocators'!I144</f>
        <v>7017855.895498656</v>
      </c>
      <c r="J80" s="258">
        <f>+J$70*'Monthly Energy Allocators'!J144</f>
        <v>3229686.6398835722</v>
      </c>
      <c r="K80" s="258">
        <f>+K$70*'Monthly Energy Allocators'!K144</f>
        <v>1208445.473891081</v>
      </c>
      <c r="L80" s="258">
        <f>+L$70*'Monthly Energy Allocators'!L144</f>
        <v>1415870.7606324155</v>
      </c>
      <c r="M80" s="258">
        <f>+M$70*'Monthly Energy Allocators'!M144</f>
        <v>1389671.9444162494</v>
      </c>
      <c r="N80" s="272">
        <f t="shared" si="15"/>
        <v>55990235.03276142</v>
      </c>
      <c r="O80" s="272"/>
      <c r="P80" s="272"/>
      <c r="Q80" s="272"/>
    </row>
    <row r="81" spans="1:17" ht="12.75">
      <c r="A81" s="271" t="s">
        <v>52</v>
      </c>
      <c r="B81" s="258">
        <f>+B$70*'Monthly Energy Allocators'!B145</f>
        <v>926107.5590806858</v>
      </c>
      <c r="C81" s="258">
        <f>+C$70*'Monthly Energy Allocators'!C145</f>
        <v>826265.2588315433</v>
      </c>
      <c r="D81" s="258">
        <f>+D$70*'Monthly Energy Allocators'!D145</f>
        <v>715624.7118312632</v>
      </c>
      <c r="E81" s="258">
        <f>+E$70*'Monthly Energy Allocators'!E145</f>
        <v>530635.7731769556</v>
      </c>
      <c r="F81" s="258">
        <f>+F$70*'Monthly Energy Allocators'!F145</f>
        <v>450053.27119796776</v>
      </c>
      <c r="G81" s="258">
        <f>+G$70*'Monthly Energy Allocators'!G145</f>
        <v>526397.9698153733</v>
      </c>
      <c r="H81" s="258">
        <f>+H$70*'Monthly Energy Allocators'!H145</f>
        <v>547968.8679977907</v>
      </c>
      <c r="I81" s="258">
        <f>+I$70*'Monthly Energy Allocators'!I145</f>
        <v>603096.8302142508</v>
      </c>
      <c r="J81" s="258">
        <f>+J$70*'Monthly Energy Allocators'!J145</f>
        <v>488642.9490721152</v>
      </c>
      <c r="K81" s="258">
        <f>+K$70*'Monthly Energy Allocators'!K145</f>
        <v>634196.7867067419</v>
      </c>
      <c r="L81" s="258">
        <f>+L$70*'Monthly Energy Allocators'!L145</f>
        <v>644660.7729738238</v>
      </c>
      <c r="M81" s="258">
        <f>+M$70*'Monthly Energy Allocators'!M145</f>
        <v>735865.6986542733</v>
      </c>
      <c r="N81" s="272">
        <f t="shared" si="15"/>
        <v>7629516.449552786</v>
      </c>
      <c r="O81" s="272"/>
      <c r="P81" s="272"/>
      <c r="Q81" s="272"/>
    </row>
    <row r="82" spans="1:17" ht="12.75">
      <c r="A82" s="271" t="s">
        <v>53</v>
      </c>
      <c r="B82" s="267">
        <f>+B$70*'Monthly Energy Allocators'!B146</f>
        <v>436209.6616029212</v>
      </c>
      <c r="C82" s="267">
        <f>+C$70*'Monthly Energy Allocators'!C146</f>
        <v>415248.1663312129</v>
      </c>
      <c r="D82" s="267">
        <f>+D$70*'Monthly Energy Allocators'!D146</f>
        <v>396702.97245362075</v>
      </c>
      <c r="E82" s="267">
        <f>+E$70*'Monthly Energy Allocators'!E146</f>
        <v>329315.95433779305</v>
      </c>
      <c r="F82" s="267">
        <f>+F$70*'Monthly Energy Allocators'!F146</f>
        <v>333707.88137871516</v>
      </c>
      <c r="G82" s="267">
        <f>+G$70*'Monthly Energy Allocators'!G146</f>
        <v>382023.860050329</v>
      </c>
      <c r="H82" s="267">
        <f>+H$70*'Monthly Energy Allocators'!H146</f>
        <v>391992.13805017906</v>
      </c>
      <c r="I82" s="267">
        <f>+I$70*'Monthly Energy Allocators'!I146</f>
        <v>447335.360377511</v>
      </c>
      <c r="J82" s="267">
        <f>+J$70*'Monthly Energy Allocators'!J146</f>
        <v>378345.3637749846</v>
      </c>
      <c r="K82" s="267">
        <f>+K$70*'Monthly Energy Allocators'!K146</f>
        <v>403417.09091300814</v>
      </c>
      <c r="L82" s="267">
        <f>+L$70*'Monthly Energy Allocators'!L146</f>
        <v>405996.62672425335</v>
      </c>
      <c r="M82" s="267">
        <f>+M$70*'Monthly Energy Allocators'!M146</f>
        <v>406209.50151255314</v>
      </c>
      <c r="N82" s="273">
        <f t="shared" si="15"/>
        <v>4726504.577507081</v>
      </c>
      <c r="O82" s="273"/>
      <c r="P82" s="273"/>
      <c r="Q82" s="273"/>
    </row>
    <row r="83" spans="1:17" ht="12.75">
      <c r="A83" s="248" t="s">
        <v>44</v>
      </c>
      <c r="B83" s="274">
        <f>SUM(B73:B82)</f>
        <v>53853918.89572119</v>
      </c>
      <c r="C83" s="274">
        <f aca="true" t="shared" si="16" ref="C83:N83">SUM(C73:C82)</f>
        <v>47043586.07352247</v>
      </c>
      <c r="D83" s="274">
        <f t="shared" si="16"/>
        <v>40932190.09697349</v>
      </c>
      <c r="E83" s="274">
        <f t="shared" si="16"/>
        <v>31750775.81045126</v>
      </c>
      <c r="F83" s="274">
        <f t="shared" si="16"/>
        <v>28929396.667311423</v>
      </c>
      <c r="G83" s="274">
        <f t="shared" si="16"/>
        <v>34742753.90823326</v>
      </c>
      <c r="H83" s="274">
        <f t="shared" si="16"/>
        <v>34564630.84759217</v>
      </c>
      <c r="I83" s="274">
        <f t="shared" si="16"/>
        <v>37596179.488687195</v>
      </c>
      <c r="J83" s="274">
        <f t="shared" si="16"/>
        <v>28621163.410434447</v>
      </c>
      <c r="K83" s="274">
        <f t="shared" si="16"/>
        <v>31484690.971288074</v>
      </c>
      <c r="L83" s="274">
        <f t="shared" si="16"/>
        <v>32124586.336916465</v>
      </c>
      <c r="M83" s="274">
        <f t="shared" si="16"/>
        <v>36820865.206917055</v>
      </c>
      <c r="N83" s="274">
        <f t="shared" si="16"/>
        <v>438464737.71404845</v>
      </c>
      <c r="O83" s="274"/>
      <c r="P83" s="274"/>
      <c r="Q83" s="274"/>
    </row>
  </sheetData>
  <sheetProtection/>
  <printOptions/>
  <pageMargins left="0.7" right="0.7" top="0.75" bottom="0.75" header="0.3" footer="0.3"/>
  <pageSetup fitToHeight="2" horizontalDpi="600" verticalDpi="600" orientation="landscape" paperSize="17" scale="78" r:id="rId1"/>
  <rowBreaks count="1" manualBreakCount="1">
    <brk id="3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51"/>
  <sheetViews>
    <sheetView view="pageBreakPreview" zoomScale="60" zoomScaleNormal="115" zoomScalePageLayoutView="0" workbookViewId="0" topLeftCell="A1">
      <pane xSplit="1" ySplit="1" topLeftCell="B110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B135" sqref="B135"/>
    </sheetView>
  </sheetViews>
  <sheetFormatPr defaultColWidth="9.140625" defaultRowHeight="12.75"/>
  <cols>
    <col min="1" max="1" width="36.57421875" style="228" bestFit="1" customWidth="1"/>
    <col min="2" max="2" width="17.28125" style="228" bestFit="1" customWidth="1"/>
    <col min="3" max="4" width="18.00390625" style="228" bestFit="1" customWidth="1"/>
    <col min="5" max="5" width="15.8515625" style="228" bestFit="1" customWidth="1"/>
    <col min="6" max="6" width="15.57421875" style="228" bestFit="1" customWidth="1"/>
    <col min="7" max="9" width="15.8515625" style="228" bestFit="1" customWidth="1"/>
    <col min="10" max="10" width="15.57421875" style="228" bestFit="1" customWidth="1"/>
    <col min="11" max="11" width="15.8515625" style="228" bestFit="1" customWidth="1"/>
    <col min="12" max="13" width="16.28125" style="228" bestFit="1" customWidth="1"/>
    <col min="14" max="14" width="19.00390625" style="228" bestFit="1" customWidth="1"/>
    <col min="15" max="15" width="15.421875" style="228" bestFit="1" customWidth="1"/>
    <col min="16" max="16" width="22.28125" style="228" bestFit="1" customWidth="1"/>
    <col min="17" max="17" width="15.00390625" style="228" bestFit="1" customWidth="1"/>
    <col min="18" max="18" width="17.7109375" style="228" bestFit="1" customWidth="1"/>
    <col min="19" max="19" width="11.7109375" style="228" bestFit="1" customWidth="1"/>
    <col min="20" max="16384" width="9.140625" style="228" customWidth="1"/>
  </cols>
  <sheetData>
    <row r="1" spans="1:14" ht="12.75">
      <c r="A1" s="275" t="s">
        <v>7</v>
      </c>
      <c r="B1" s="276">
        <v>40544</v>
      </c>
      <c r="C1" s="276">
        <v>40575</v>
      </c>
      <c r="D1" s="276">
        <v>40603</v>
      </c>
      <c r="E1" s="276">
        <v>40634</v>
      </c>
      <c r="F1" s="276">
        <v>40664</v>
      </c>
      <c r="G1" s="276">
        <v>40695</v>
      </c>
      <c r="H1" s="276">
        <v>40725</v>
      </c>
      <c r="I1" s="276">
        <v>40756</v>
      </c>
      <c r="J1" s="276">
        <v>40787</v>
      </c>
      <c r="K1" s="276">
        <v>40817</v>
      </c>
      <c r="L1" s="276">
        <v>40848</v>
      </c>
      <c r="M1" s="276">
        <v>40878</v>
      </c>
      <c r="N1" s="275" t="s">
        <v>44</v>
      </c>
    </row>
    <row r="2" spans="1:14" ht="12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5.75">
      <c r="A3" s="277" t="s">
        <v>190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21.75" customHeight="1">
      <c r="A4" s="248" t="s">
        <v>39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12.75">
      <c r="A5" s="271" t="s">
        <v>93</v>
      </c>
      <c r="B5" s="278">
        <f>+'Data Inputs - 2011'!C21</f>
        <v>491597341.0000003</v>
      </c>
      <c r="C5" s="278">
        <f>+'Data Inputs - 2011'!D21</f>
        <v>447237069.00000006</v>
      </c>
      <c r="D5" s="278">
        <f>+'Data Inputs - 2011'!E21</f>
        <v>434583594.0663284</v>
      </c>
      <c r="E5" s="278">
        <f>+'Data Inputs - 2011'!F21</f>
        <v>342830712.6770455</v>
      </c>
      <c r="F5" s="278">
        <f>+'Data Inputs - 2011'!G21</f>
        <v>317944762.7246134</v>
      </c>
      <c r="G5" s="278">
        <f>+'Data Inputs - 2011'!H21</f>
        <v>262374957.66969824</v>
      </c>
      <c r="H5" s="278">
        <f>+'Data Inputs - 2011'!I21</f>
        <v>255826504.48412168</v>
      </c>
      <c r="I5" s="278">
        <f>+'Data Inputs - 2011'!J21</f>
        <v>256068467.12117815</v>
      </c>
      <c r="J5" s="278">
        <f>+'Data Inputs - 2011'!K21</f>
        <v>257225936.05937248</v>
      </c>
      <c r="K5" s="278">
        <f>+'Data Inputs - 2011'!L21</f>
        <v>285773310.01161015</v>
      </c>
      <c r="L5" s="278">
        <f>+'Data Inputs - 2011'!M21</f>
        <v>331972814.517241</v>
      </c>
      <c r="M5" s="278">
        <f>+'Data Inputs - 2011'!N21</f>
        <v>433996239.6558744</v>
      </c>
      <c r="N5" s="279">
        <f aca="true" t="shared" si="0" ref="N5:N16">SUM(B5:M5)</f>
        <v>4117431708.9870834</v>
      </c>
    </row>
    <row r="6" spans="1:14" ht="12.75">
      <c r="A6" s="271" t="s">
        <v>94</v>
      </c>
      <c r="B6" s="280">
        <f>+'Data Inputs - 2011'!C22</f>
        <v>24531972.844606645</v>
      </c>
      <c r="C6" s="280">
        <f>+'Data Inputs - 2011'!D22</f>
        <v>23582348.746298164</v>
      </c>
      <c r="D6" s="280">
        <f>+'Data Inputs - 2011'!E22</f>
        <v>23542204.07721302</v>
      </c>
      <c r="E6" s="280">
        <f>+'Data Inputs - 2011'!F22</f>
        <v>19053331.20291841</v>
      </c>
      <c r="F6" s="280">
        <f>+'Data Inputs - 2011'!G22</f>
        <v>13564359.01430652</v>
      </c>
      <c r="G6" s="280">
        <f>+'Data Inputs - 2011'!H22</f>
        <v>9141075.003010314</v>
      </c>
      <c r="H6" s="280">
        <f>+'Data Inputs - 2011'!I22</f>
        <v>7263772.667569518</v>
      </c>
      <c r="I6" s="280">
        <f>+'Data Inputs - 2011'!J22</f>
        <v>7441492.09589796</v>
      </c>
      <c r="J6" s="280">
        <f>+'Data Inputs - 2011'!K22</f>
        <v>8327371.07233436</v>
      </c>
      <c r="K6" s="280">
        <f>+'Data Inputs - 2011'!L22</f>
        <v>11226696.750063414</v>
      </c>
      <c r="L6" s="280">
        <f>+'Data Inputs - 2011'!M22</f>
        <v>17098145.917758435</v>
      </c>
      <c r="M6" s="280">
        <f>+'Data Inputs - 2011'!N22</f>
        <v>29542563.608520996</v>
      </c>
      <c r="N6" s="281">
        <f t="shared" si="0"/>
        <v>194315333.00049773</v>
      </c>
    </row>
    <row r="7" spans="1:14" ht="12.75">
      <c r="A7" s="271" t="s">
        <v>95</v>
      </c>
      <c r="B7" s="278">
        <f>+'Data Inputs - 2011'!C23</f>
        <v>516129313.84460694</v>
      </c>
      <c r="C7" s="278">
        <f>+'Data Inputs - 2011'!D23</f>
        <v>470819417.7462982</v>
      </c>
      <c r="D7" s="278">
        <f>+'Data Inputs - 2011'!E23</f>
        <v>458125798.14354146</v>
      </c>
      <c r="E7" s="278">
        <f>+'Data Inputs - 2011'!F23</f>
        <v>361884043.87996393</v>
      </c>
      <c r="F7" s="278">
        <f>+'Data Inputs - 2011'!G23</f>
        <v>331509121.73892</v>
      </c>
      <c r="G7" s="278">
        <f>+'Data Inputs - 2011'!H23</f>
        <v>271516032.6727086</v>
      </c>
      <c r="H7" s="278">
        <f>+'Data Inputs - 2011'!I23</f>
        <v>263090277.1516912</v>
      </c>
      <c r="I7" s="278">
        <f>+'Data Inputs - 2011'!J23</f>
        <v>263509959.21707612</v>
      </c>
      <c r="J7" s="278">
        <f>+'Data Inputs - 2011'!K23</f>
        <v>265553307.13170683</v>
      </c>
      <c r="K7" s="278">
        <f>+'Data Inputs - 2011'!L23</f>
        <v>297000006.76167357</v>
      </c>
      <c r="L7" s="278">
        <f>+'Data Inputs - 2011'!M23</f>
        <v>349070960.43499947</v>
      </c>
      <c r="M7" s="278">
        <f>+'Data Inputs - 2011'!N23</f>
        <v>463538803.26439536</v>
      </c>
      <c r="N7" s="279">
        <f t="shared" si="0"/>
        <v>4311747041.987582</v>
      </c>
    </row>
    <row r="8" spans="1:14" ht="12.75">
      <c r="A8" s="271" t="s">
        <v>46</v>
      </c>
      <c r="B8" s="278">
        <f>+'Data Inputs - 2011'!C24</f>
        <v>25054239.090126842</v>
      </c>
      <c r="C8" s="278">
        <f>+'Data Inputs - 2011'!D24</f>
        <v>23947308.926431797</v>
      </c>
      <c r="D8" s="278">
        <f>+'Data Inputs - 2011'!E24</f>
        <v>24778327.71529182</v>
      </c>
      <c r="E8" s="278">
        <f>+'Data Inputs - 2011'!F24</f>
        <v>19673628.478945963</v>
      </c>
      <c r="F8" s="278">
        <f>+'Data Inputs - 2011'!G24</f>
        <v>19705463.919923946</v>
      </c>
      <c r="G8" s="278">
        <f>+'Data Inputs - 2011'!H24</f>
        <v>16973750.19414236</v>
      </c>
      <c r="H8" s="278">
        <f>+'Data Inputs - 2011'!I24</f>
        <v>17470246.348917868</v>
      </c>
      <c r="I8" s="278">
        <f>+'Data Inputs - 2011'!J24</f>
        <v>17355842.138498247</v>
      </c>
      <c r="J8" s="278">
        <f>+'Data Inputs - 2011'!K24</f>
        <v>17678286.16211143</v>
      </c>
      <c r="K8" s="278">
        <f>+'Data Inputs - 2011'!L24</f>
        <v>18075941.83632879</v>
      </c>
      <c r="L8" s="278">
        <f>+'Data Inputs - 2011'!M24</f>
        <v>17737765.140632696</v>
      </c>
      <c r="M8" s="278">
        <f>+'Data Inputs - 2011'!N24</f>
        <v>22154198.209045544</v>
      </c>
      <c r="N8" s="279">
        <f t="shared" si="0"/>
        <v>240604998.1603973</v>
      </c>
    </row>
    <row r="9" spans="1:14" ht="12.75">
      <c r="A9" s="271" t="s">
        <v>47</v>
      </c>
      <c r="B9" s="278">
        <f>+'Data Inputs - 2011'!C25</f>
        <v>239579439.10776353</v>
      </c>
      <c r="C9" s="278">
        <f>+'Data Inputs - 2011'!D25</f>
        <v>227368670.79070008</v>
      </c>
      <c r="D9" s="278">
        <f>+'Data Inputs - 2011'!E25</f>
        <v>228184562.05384693</v>
      </c>
      <c r="E9" s="278">
        <f>+'Data Inputs - 2011'!F25</f>
        <v>193918198.35243177</v>
      </c>
      <c r="F9" s="278">
        <f>+'Data Inputs - 2011'!G25</f>
        <v>190109868.0163232</v>
      </c>
      <c r="G9" s="278">
        <f>+'Data Inputs - 2011'!H25</f>
        <v>189265281.33373857</v>
      </c>
      <c r="H9" s="278">
        <f>+'Data Inputs - 2011'!I25</f>
        <v>195835281.50903186</v>
      </c>
      <c r="I9" s="278">
        <f>+'Data Inputs - 2011'!J25</f>
        <v>190588359.90718496</v>
      </c>
      <c r="J9" s="278">
        <f>+'Data Inputs - 2011'!K25</f>
        <v>182428741.7169053</v>
      </c>
      <c r="K9" s="278">
        <f>+'Data Inputs - 2011'!L25</f>
        <v>197173592.92362168</v>
      </c>
      <c r="L9" s="278">
        <f>+'Data Inputs - 2011'!M25</f>
        <v>199422591.7794435</v>
      </c>
      <c r="M9" s="278">
        <f>+'Data Inputs - 2011'!N25</f>
        <v>227394363.22912452</v>
      </c>
      <c r="N9" s="279">
        <f t="shared" si="0"/>
        <v>2461268950.7201157</v>
      </c>
    </row>
    <row r="10" spans="1:14" ht="12.75">
      <c r="A10" s="271" t="s">
        <v>48</v>
      </c>
      <c r="B10" s="278">
        <f>+'Data Inputs - 2011'!C26</f>
        <v>35096557</v>
      </c>
      <c r="C10" s="278">
        <f>+'Data Inputs - 2011'!D26</f>
        <v>30777495</v>
      </c>
      <c r="D10" s="278">
        <f>+'Data Inputs - 2011'!E26</f>
        <v>37224786</v>
      </c>
      <c r="E10" s="278">
        <f>+'Data Inputs - 2011'!F26</f>
        <v>32404250</v>
      </c>
      <c r="F10" s="278">
        <f>+'Data Inputs - 2011'!G26</f>
        <v>33505033</v>
      </c>
      <c r="G10" s="278">
        <f>+'Data Inputs - 2011'!H26</f>
        <v>33139815</v>
      </c>
      <c r="H10" s="278">
        <f>+'Data Inputs - 2011'!I26</f>
        <v>37969360</v>
      </c>
      <c r="I10" s="278">
        <f>+'Data Inputs - 2011'!J26</f>
        <v>38383819</v>
      </c>
      <c r="J10" s="278">
        <f>+'Data Inputs - 2011'!K26</f>
        <v>35811295</v>
      </c>
      <c r="K10" s="278">
        <f>+'Data Inputs - 2011'!L26</f>
        <v>34843162</v>
      </c>
      <c r="L10" s="278">
        <f>+'Data Inputs - 2011'!M26</f>
        <v>32971008.12293102</v>
      </c>
      <c r="M10" s="278">
        <f>+'Data Inputs - 2011'!N26</f>
        <v>33060764.813905407</v>
      </c>
      <c r="N10" s="279">
        <f t="shared" si="0"/>
        <v>415187344.9368364</v>
      </c>
    </row>
    <row r="11" spans="1:14" ht="12.75">
      <c r="A11" s="271" t="s">
        <v>49</v>
      </c>
      <c r="B11" s="278">
        <f>+'Data Inputs - 2011'!C27</f>
        <v>23892128.986424677</v>
      </c>
      <c r="C11" s="278">
        <f>+'Data Inputs - 2011'!D27</f>
        <v>22187486.98978901</v>
      </c>
      <c r="D11" s="278">
        <f>+'Data Inputs - 2011'!E27</f>
        <v>23823017.566372495</v>
      </c>
      <c r="E11" s="278">
        <f>+'Data Inputs - 2011'!F27</f>
        <v>20227973.185708687</v>
      </c>
      <c r="F11" s="278">
        <f>+'Data Inputs - 2011'!G27</f>
        <v>20827850.85325282</v>
      </c>
      <c r="G11" s="278">
        <f>+'Data Inputs - 2011'!H27</f>
        <v>20267882.116491325</v>
      </c>
      <c r="H11" s="278">
        <f>+'Data Inputs - 2011'!I27</f>
        <v>23069569.723985806</v>
      </c>
      <c r="I11" s="278">
        <f>+'Data Inputs - 2011'!J27</f>
        <v>18904477.829306006</v>
      </c>
      <c r="J11" s="278">
        <f>+'Data Inputs - 2011'!K27</f>
        <v>21239241.473004825</v>
      </c>
      <c r="K11" s="278">
        <f>+'Data Inputs - 2011'!L27</f>
        <v>16608872.26853967</v>
      </c>
      <c r="L11" s="278">
        <f>+'Data Inputs - 2011'!M27</f>
        <v>20717128.90960718</v>
      </c>
      <c r="M11" s="278">
        <f>+'Data Inputs - 2011'!N27</f>
        <v>24025307.281967316</v>
      </c>
      <c r="N11" s="279">
        <f t="shared" si="0"/>
        <v>255790937.18444976</v>
      </c>
    </row>
    <row r="12" spans="1:14" ht="12.75">
      <c r="A12" s="271" t="s">
        <v>50</v>
      </c>
      <c r="B12" s="278">
        <f>+'Data Inputs - 2011'!C28</f>
        <v>37338669.36657387</v>
      </c>
      <c r="C12" s="278">
        <f>+'Data Inputs - 2011'!D28</f>
        <v>38770685.520580575</v>
      </c>
      <c r="D12" s="278">
        <f>+'Data Inputs - 2011'!E28</f>
        <v>43393092.019857004</v>
      </c>
      <c r="E12" s="278">
        <f>+'Data Inputs - 2011'!F28</f>
        <v>42220873.4699043</v>
      </c>
      <c r="F12" s="278">
        <f>+'Data Inputs - 2011'!G28</f>
        <v>38261549.511217296</v>
      </c>
      <c r="G12" s="278">
        <f>+'Data Inputs - 2011'!H28</f>
        <v>41597947.68831301</v>
      </c>
      <c r="H12" s="278">
        <f>+'Data Inputs - 2011'!I28</f>
        <v>41403757.83794585</v>
      </c>
      <c r="I12" s="278">
        <f>+'Data Inputs - 2011'!J28</f>
        <v>40025150.94381815</v>
      </c>
      <c r="J12" s="278">
        <f>+'Data Inputs - 2011'!K28</f>
        <v>43093385.160355315</v>
      </c>
      <c r="K12" s="278">
        <f>+'Data Inputs - 2011'!L28</f>
        <v>41794995.01671873</v>
      </c>
      <c r="L12" s="278">
        <f>+'Data Inputs - 2011'!M28</f>
        <v>41136127.63727259</v>
      </c>
      <c r="M12" s="278">
        <f>+'Data Inputs - 2011'!N28</f>
        <v>41904505.43741902</v>
      </c>
      <c r="N12" s="279">
        <f t="shared" si="0"/>
        <v>490940739.6099757</v>
      </c>
    </row>
    <row r="13" spans="1:14" ht="12.75">
      <c r="A13" s="271" t="s">
        <v>51</v>
      </c>
      <c r="B13" s="278">
        <f>+'Data Inputs - 2011'!C29</f>
        <v>77413569.44</v>
      </c>
      <c r="C13" s="278">
        <f>+'Data Inputs - 2011'!D29</f>
        <v>72775167.68</v>
      </c>
      <c r="D13" s="278">
        <f>+'Data Inputs - 2011'!E29</f>
        <v>77538009.69</v>
      </c>
      <c r="E13" s="278">
        <f>+'Data Inputs - 2011'!F29</f>
        <v>75612712.44</v>
      </c>
      <c r="F13" s="278">
        <f>+'Data Inputs - 2011'!G29</f>
        <v>76648467</v>
      </c>
      <c r="G13" s="278">
        <f>+'Data Inputs - 2011'!H29</f>
        <v>77452544.22</v>
      </c>
      <c r="H13" s="278">
        <f>+'Data Inputs - 2011'!I29</f>
        <v>77012032.9</v>
      </c>
      <c r="I13" s="278">
        <f>+'Data Inputs - 2011'!J29</f>
        <v>79399380.52000001</v>
      </c>
      <c r="J13" s="278">
        <f>+'Data Inputs - 2011'!K29</f>
        <v>80836843.09</v>
      </c>
      <c r="K13" s="278">
        <f>+'Data Inputs - 2011'!L29</f>
        <v>77490481.31</v>
      </c>
      <c r="L13" s="278">
        <f>+'Data Inputs - 2011'!M29</f>
        <v>79373258.69984713</v>
      </c>
      <c r="M13" s="278">
        <f>+'Data Inputs - 2011'!N29</f>
        <v>75071104.01097429</v>
      </c>
      <c r="N13" s="279">
        <f t="shared" si="0"/>
        <v>926623571.0008214</v>
      </c>
    </row>
    <row r="14" spans="1:16" ht="12.75">
      <c r="A14" s="271" t="s">
        <v>164</v>
      </c>
      <c r="B14" s="278">
        <f>+'Data Inputs - 2011'!C30</f>
        <v>161260512</v>
      </c>
      <c r="C14" s="278">
        <f>+'Data Inputs - 2011'!D30</f>
        <v>145654656</v>
      </c>
      <c r="D14" s="278">
        <f>+'Data Inputs - 2011'!E30</f>
        <v>159855764</v>
      </c>
      <c r="E14" s="278">
        <f>+'Data Inputs - 2011'!F30</f>
        <v>156058560</v>
      </c>
      <c r="F14" s="278">
        <f>+'Data Inputs - 2011'!G30</f>
        <v>161260512</v>
      </c>
      <c r="G14" s="278">
        <f>+'Data Inputs - 2011'!H30</f>
        <v>156058560</v>
      </c>
      <c r="H14" s="278">
        <f>+'Data Inputs - 2011'!I30</f>
        <v>161260512</v>
      </c>
      <c r="I14" s="278">
        <f>+'Data Inputs - 2011'!J30</f>
        <v>161260512</v>
      </c>
      <c r="J14" s="278">
        <f>+'Data Inputs - 2011'!K30</f>
        <v>88871560</v>
      </c>
      <c r="K14" s="278">
        <f>+'Data Inputs - 2011'!L30</f>
        <v>29673880</v>
      </c>
      <c r="L14" s="278">
        <f>+'Data Inputs - 2011'!M30</f>
        <v>37618560.00000001</v>
      </c>
      <c r="M14" s="278">
        <f>+'Data Inputs - 2011'!N30</f>
        <v>38872512</v>
      </c>
      <c r="N14" s="279">
        <f>SUM(B14:M14)</f>
        <v>1457706100</v>
      </c>
      <c r="P14" s="282"/>
    </row>
    <row r="15" spans="1:14" ht="12.75">
      <c r="A15" s="271" t="s">
        <v>52</v>
      </c>
      <c r="B15" s="278">
        <f>+'Data Inputs - 2011'!C31</f>
        <v>20421066</v>
      </c>
      <c r="C15" s="278">
        <f>+'Data Inputs - 2011'!D31</f>
        <v>19292747</v>
      </c>
      <c r="D15" s="278">
        <f>+'Data Inputs - 2011'!E31</f>
        <v>19378649</v>
      </c>
      <c r="E15" s="278">
        <f>+'Data Inputs - 2011'!F31</f>
        <v>15767063</v>
      </c>
      <c r="F15" s="278">
        <f>+'Data Inputs - 2011'!G31</f>
        <v>14060408</v>
      </c>
      <c r="G15" s="278">
        <f>+'Data Inputs - 2011'!H31</f>
        <v>12650029</v>
      </c>
      <c r="H15" s="278">
        <f>+'Data Inputs - 2011'!I31</f>
        <v>13607616</v>
      </c>
      <c r="I15" s="278">
        <f>+'Data Inputs - 2011'!J31</f>
        <v>13564379</v>
      </c>
      <c r="J15" s="278">
        <f>+'Data Inputs - 2011'!K31</f>
        <v>13258088</v>
      </c>
      <c r="K15" s="278">
        <f>+'Data Inputs - 2011'!L31</f>
        <v>15256829</v>
      </c>
      <c r="L15" s="278">
        <f>+'Data Inputs - 2011'!M31</f>
        <v>16706794.005903678</v>
      </c>
      <c r="M15" s="278">
        <f>+'Data Inputs - 2011'!N31</f>
        <v>19819901.316194266</v>
      </c>
      <c r="N15" s="279">
        <f t="shared" si="0"/>
        <v>193783569.32209796</v>
      </c>
    </row>
    <row r="16" spans="1:14" ht="12.75">
      <c r="A16" s="271" t="s">
        <v>53</v>
      </c>
      <c r="B16" s="280">
        <f>+'Data Inputs - 2011'!C32</f>
        <v>8861752.24295505</v>
      </c>
      <c r="C16" s="280">
        <f>+'Data Inputs - 2011'!D32</f>
        <v>8916948.142315011</v>
      </c>
      <c r="D16" s="280">
        <f>+'Data Inputs - 2011'!E32</f>
        <v>9926719.6398334</v>
      </c>
      <c r="E16" s="280">
        <f>+'Data Inputs - 2011'!F32</f>
        <v>9225098.637041202</v>
      </c>
      <c r="F16" s="280">
        <f>+'Data Inputs - 2011'!G32</f>
        <v>9906998.59548337</v>
      </c>
      <c r="G16" s="280">
        <f>+'Data Inputs - 2011'!H32</f>
        <v>8951400.126645159</v>
      </c>
      <c r="H16" s="280">
        <f>+'Data Inputs - 2011'!I32</f>
        <v>9337248.837506989</v>
      </c>
      <c r="I16" s="280">
        <f>+'Data Inputs - 2011'!J32</f>
        <v>9533539.786029493</v>
      </c>
      <c r="J16" s="280">
        <f>+'Data Inputs - 2011'!K32</f>
        <v>9875713.277327318</v>
      </c>
      <c r="K16" s="280">
        <f>+'Data Inputs - 2011'!L32</f>
        <v>9289066.42838288</v>
      </c>
      <c r="L16" s="280">
        <f>+'Data Inputs - 2011'!M32</f>
        <v>10031257.468571562</v>
      </c>
      <c r="M16" s="280">
        <f>+'Data Inputs - 2011'!N32</f>
        <v>10094127.10237779</v>
      </c>
      <c r="N16" s="281">
        <f t="shared" si="0"/>
        <v>113949870.2844692</v>
      </c>
    </row>
    <row r="17" spans="1:15" ht="12.75">
      <c r="A17" s="248" t="s">
        <v>56</v>
      </c>
      <c r="B17" s="283">
        <f aca="true" t="shared" si="1" ref="B17:M17">SUM(B7:B16)</f>
        <v>1145047247.078451</v>
      </c>
      <c r="C17" s="283">
        <f t="shared" si="1"/>
        <v>1060510583.7961146</v>
      </c>
      <c r="D17" s="283">
        <f t="shared" si="1"/>
        <v>1082228725.8287432</v>
      </c>
      <c r="E17" s="283">
        <f t="shared" si="1"/>
        <v>926992401.4439958</v>
      </c>
      <c r="F17" s="283">
        <f t="shared" si="1"/>
        <v>895795272.6351205</v>
      </c>
      <c r="G17" s="283">
        <f t="shared" si="1"/>
        <v>827873242.352039</v>
      </c>
      <c r="H17" s="283">
        <f t="shared" si="1"/>
        <v>840055902.3090795</v>
      </c>
      <c r="I17" s="283">
        <f t="shared" si="1"/>
        <v>832525420.3419129</v>
      </c>
      <c r="J17" s="283">
        <f t="shared" si="1"/>
        <v>758646461.011411</v>
      </c>
      <c r="K17" s="283">
        <f t="shared" si="1"/>
        <v>737206827.5452654</v>
      </c>
      <c r="L17" s="283">
        <f t="shared" si="1"/>
        <v>804785452.1992087</v>
      </c>
      <c r="M17" s="283">
        <f t="shared" si="1"/>
        <v>955935586.6654035</v>
      </c>
      <c r="N17" s="283">
        <f>SUM(B17:M17)</f>
        <v>10867603123.206747</v>
      </c>
      <c r="O17" s="282"/>
    </row>
    <row r="18" spans="1:14" ht="12.75">
      <c r="A18" s="248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</row>
    <row r="19" spans="1:14" ht="12.75">
      <c r="A19" s="377" t="s">
        <v>96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</row>
    <row r="20" spans="1:14" ht="12.75">
      <c r="A20" s="378" t="s">
        <v>74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</row>
    <row r="21" spans="1:14" ht="12.75">
      <c r="A21" s="378" t="s">
        <v>171</v>
      </c>
      <c r="B21" s="279">
        <f>+'Data Inputs - 2011'!C36</f>
        <v>15498000</v>
      </c>
      <c r="C21" s="279">
        <f>+'Data Inputs - 2011'!D36</f>
        <v>12474000</v>
      </c>
      <c r="D21" s="279">
        <f>+'Data Inputs - 2011'!E36</f>
        <v>15456000</v>
      </c>
      <c r="E21" s="279">
        <f>+'Data Inputs - 2011'!F36</f>
        <v>14490000</v>
      </c>
      <c r="F21" s="279">
        <f>+'Data Inputs - 2011'!G36</f>
        <v>15498000</v>
      </c>
      <c r="G21" s="279">
        <f>+'Data Inputs - 2011'!H36</f>
        <v>14490000</v>
      </c>
      <c r="H21" s="279">
        <f>+'Data Inputs - 2011'!I36</f>
        <v>15498000</v>
      </c>
      <c r="I21" s="279">
        <f>+'Data Inputs - 2011'!J36</f>
        <v>15498000</v>
      </c>
      <c r="J21" s="279">
        <f>+'Data Inputs - 2011'!K36</f>
        <v>14490000</v>
      </c>
      <c r="K21" s="279">
        <f>+'Data Inputs - 2011'!L36</f>
        <v>15498000</v>
      </c>
      <c r="L21" s="279">
        <f>+'Data Inputs - 2011'!M36</f>
        <v>14490000</v>
      </c>
      <c r="M21" s="279">
        <f>+'Data Inputs - 2011'!N36</f>
        <v>15498000</v>
      </c>
      <c r="N21" s="279">
        <f>SUM(B21:M21)</f>
        <v>178878000</v>
      </c>
    </row>
    <row r="22" spans="1:14" s="286" customFormat="1" ht="12.75">
      <c r="A22" s="379" t="s">
        <v>172</v>
      </c>
      <c r="B22" s="285">
        <f>+'Data Inputs - 2011'!C37</f>
        <v>0</v>
      </c>
      <c r="C22" s="285">
        <f>+'Data Inputs - 2011'!D37</f>
        <v>0</v>
      </c>
      <c r="D22" s="285">
        <f>+'Data Inputs - 2011'!E37</f>
        <v>0</v>
      </c>
      <c r="E22" s="285">
        <f>+'Data Inputs - 2011'!F37</f>
        <v>0</v>
      </c>
      <c r="F22" s="285">
        <f>+'Data Inputs - 2011'!G37</f>
        <v>0</v>
      </c>
      <c r="G22" s="285">
        <f>+'Data Inputs - 2011'!H37</f>
        <v>0</v>
      </c>
      <c r="H22" s="285">
        <f>+'Data Inputs - 2011'!I37</f>
        <v>0</v>
      </c>
      <c r="I22" s="285">
        <f>+'Data Inputs - 2011'!J37</f>
        <v>0</v>
      </c>
      <c r="J22" s="285">
        <f>+'Data Inputs - 2011'!K37</f>
        <v>0</v>
      </c>
      <c r="K22" s="285">
        <f>+'Data Inputs - 2011'!L37</f>
        <v>0</v>
      </c>
      <c r="L22" s="285">
        <f>+'Data Inputs - 2011'!M37</f>
        <v>0</v>
      </c>
      <c r="M22" s="285">
        <f>+'Data Inputs - 2011'!N37</f>
        <v>0</v>
      </c>
      <c r="N22" s="285">
        <f>SUM(B22:M22)</f>
        <v>0</v>
      </c>
    </row>
    <row r="23" spans="1:14" ht="12.75">
      <c r="A23" s="235" t="s">
        <v>31</v>
      </c>
      <c r="B23" s="279">
        <f>'Data Inputs - 2011'!C42</f>
        <v>-454389.73000000045</v>
      </c>
      <c r="C23" s="279">
        <f>'Data Inputs - 2011'!D42</f>
        <v>-212701</v>
      </c>
      <c r="D23" s="279">
        <f>'Data Inputs - 2011'!E42</f>
        <v>-204956</v>
      </c>
      <c r="E23" s="279">
        <f>'Data Inputs - 2011'!F42</f>
        <v>97033</v>
      </c>
      <c r="F23" s="279">
        <f>'Data Inputs - 2011'!G42</f>
        <v>1811286.33</v>
      </c>
      <c r="G23" s="279">
        <f>'Data Inputs - 2011'!H42</f>
        <v>-59875.139999999665</v>
      </c>
      <c r="H23" s="279">
        <f>'Data Inputs - 2011'!I42</f>
        <v>2008272</v>
      </c>
      <c r="I23" s="279">
        <f>'Data Inputs - 2011'!J42</f>
        <v>1500759.79</v>
      </c>
      <c r="J23" s="279">
        <f>'Data Inputs - 2011'!K42</f>
        <v>589830</v>
      </c>
      <c r="K23" s="279">
        <f>'Data Inputs - 2011'!L42</f>
        <v>2739820.4000000004</v>
      </c>
      <c r="L23" s="279">
        <f>'Data Inputs - 2011'!M42</f>
        <v>1309936.4100000001</v>
      </c>
      <c r="M23" s="279">
        <f>'Data Inputs - 2011'!N42</f>
        <v>200343</v>
      </c>
      <c r="N23" s="279">
        <f>SUM(B23:M23)</f>
        <v>9325359.06</v>
      </c>
    </row>
    <row r="24" spans="1:14" ht="12.75">
      <c r="A24" s="235" t="s">
        <v>30</v>
      </c>
      <c r="B24" s="279">
        <f>+'Data Inputs - 2011'!C43-'Data Inputs - 2011'!C37</f>
        <v>15750000</v>
      </c>
      <c r="C24" s="279">
        <f>+'Data Inputs - 2011'!D43-'Data Inputs - 2011'!D37</f>
        <v>15750000</v>
      </c>
      <c r="D24" s="279">
        <f>+'Data Inputs - 2011'!E43-'Data Inputs - 2011'!E37</f>
        <v>15750000</v>
      </c>
      <c r="E24" s="279">
        <f>+'Data Inputs - 2011'!F43-'Data Inputs - 2011'!F37</f>
        <v>15750000</v>
      </c>
      <c r="F24" s="279">
        <f>+'Data Inputs - 2011'!G43-'Data Inputs - 2011'!G37</f>
        <v>15750000</v>
      </c>
      <c r="G24" s="279">
        <f>+'Data Inputs - 2011'!H43-'Data Inputs - 2011'!H37</f>
        <v>15750000</v>
      </c>
      <c r="H24" s="279">
        <f>+'Data Inputs - 2011'!I43-'Data Inputs - 2011'!I37</f>
        <v>15750000</v>
      </c>
      <c r="I24" s="279">
        <f>+'Data Inputs - 2011'!J43-'Data Inputs - 2011'!J37</f>
        <v>15750000</v>
      </c>
      <c r="J24" s="279">
        <f>+'Data Inputs - 2011'!K43-'Data Inputs - 2011'!K37</f>
        <v>15750000</v>
      </c>
      <c r="K24" s="279">
        <f>+'Data Inputs - 2011'!L43-'Data Inputs - 2011'!L37</f>
        <v>15750000</v>
      </c>
      <c r="L24" s="279">
        <f>+'Data Inputs - 2011'!M43-'Data Inputs - 2011'!M37</f>
        <v>15750000</v>
      </c>
      <c r="M24" s="279">
        <f>+'Data Inputs - 2011'!N43-'Data Inputs - 2011'!N37</f>
        <v>15750000</v>
      </c>
      <c r="N24" s="279">
        <f>SUM(B24:M24)</f>
        <v>189000000</v>
      </c>
    </row>
    <row r="25" spans="1:15" ht="12.75">
      <c r="A25" s="381" t="s">
        <v>140</v>
      </c>
      <c r="B25" s="281">
        <f>+'Data Inputs - 2011'!C62</f>
        <v>-1567168</v>
      </c>
      <c r="C25" s="281">
        <f>+'Data Inputs - 2011'!D62</f>
        <v>4854744</v>
      </c>
      <c r="D25" s="281">
        <f>+'Data Inputs - 2011'!E62</f>
        <v>9607607</v>
      </c>
      <c r="E25" s="280">
        <f>+'Data Inputs - 2011'!F62</f>
        <v>13092491</v>
      </c>
      <c r="F25" s="280">
        <f>+'Data Inputs - 2011'!G62</f>
        <v>17115020</v>
      </c>
      <c r="G25" s="280">
        <f>+'Data Inputs - 2011'!H62</f>
        <v>463755</v>
      </c>
      <c r="H25" s="280">
        <f>+'Data Inputs - 2011'!I62</f>
        <v>17657977</v>
      </c>
      <c r="I25" s="280">
        <f>+'Data Inputs - 2011'!J62</f>
        <v>2305537</v>
      </c>
      <c r="J25" s="281">
        <f>+'Data Inputs - 2011'!K62</f>
        <v>-3013726</v>
      </c>
      <c r="K25" s="281">
        <f>+'Data Inputs - 2011'!L62</f>
        <v>-3944733</v>
      </c>
      <c r="L25" s="281">
        <f>+'Data Inputs - 2011'!M62</f>
        <v>0</v>
      </c>
      <c r="M25" s="281">
        <f>+'Data Inputs - 2011'!N62</f>
        <v>0</v>
      </c>
      <c r="N25" s="279">
        <f>SUM(B25:M25)</f>
        <v>56571504</v>
      </c>
      <c r="O25" s="282"/>
    </row>
    <row r="26" spans="1:15" ht="12.75">
      <c r="A26" s="236" t="s">
        <v>99</v>
      </c>
      <c r="B26" s="283">
        <f aca="true" t="shared" si="2" ref="B26:N26">SUM(B21:B25)</f>
        <v>29226442.27</v>
      </c>
      <c r="C26" s="283">
        <f t="shared" si="2"/>
        <v>32866043</v>
      </c>
      <c r="D26" s="283">
        <f t="shared" si="2"/>
        <v>40608651</v>
      </c>
      <c r="E26" s="283">
        <f t="shared" si="2"/>
        <v>43429524</v>
      </c>
      <c r="F26" s="283">
        <f t="shared" si="2"/>
        <v>50174306.33</v>
      </c>
      <c r="G26" s="283">
        <f t="shared" si="2"/>
        <v>30643879.86</v>
      </c>
      <c r="H26" s="283">
        <f t="shared" si="2"/>
        <v>50914249</v>
      </c>
      <c r="I26" s="283">
        <f t="shared" si="2"/>
        <v>35054296.79</v>
      </c>
      <c r="J26" s="283">
        <f t="shared" si="2"/>
        <v>27816104</v>
      </c>
      <c r="K26" s="283">
        <f t="shared" si="2"/>
        <v>30043087.4</v>
      </c>
      <c r="L26" s="283">
        <f t="shared" si="2"/>
        <v>31549936.41</v>
      </c>
      <c r="M26" s="283">
        <f t="shared" si="2"/>
        <v>31448343</v>
      </c>
      <c r="N26" s="283">
        <f t="shared" si="2"/>
        <v>433774863.06</v>
      </c>
      <c r="O26" s="279"/>
    </row>
    <row r="27" spans="1:14" ht="12.75">
      <c r="A27" s="236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</row>
    <row r="28" spans="1:16" ht="12.75">
      <c r="A28" s="236" t="s">
        <v>143</v>
      </c>
      <c r="B28" s="283">
        <f aca="true" t="shared" si="3" ref="B28:M28">+B17+B26</f>
        <v>1174273689.348451</v>
      </c>
      <c r="C28" s="283">
        <f t="shared" si="3"/>
        <v>1093376626.7961144</v>
      </c>
      <c r="D28" s="283">
        <f t="shared" si="3"/>
        <v>1122837376.8287432</v>
      </c>
      <c r="E28" s="283">
        <f t="shared" si="3"/>
        <v>970421925.4439958</v>
      </c>
      <c r="F28" s="283">
        <f t="shared" si="3"/>
        <v>945969578.9651206</v>
      </c>
      <c r="G28" s="283">
        <f t="shared" si="3"/>
        <v>858517122.212039</v>
      </c>
      <c r="H28" s="283">
        <f t="shared" si="3"/>
        <v>890970151.3090795</v>
      </c>
      <c r="I28" s="283">
        <f t="shared" si="3"/>
        <v>867579717.1319128</v>
      </c>
      <c r="J28" s="283">
        <f t="shared" si="3"/>
        <v>786462565.011411</v>
      </c>
      <c r="K28" s="283">
        <f t="shared" si="3"/>
        <v>767249914.9452654</v>
      </c>
      <c r="L28" s="283">
        <f t="shared" si="3"/>
        <v>836335388.6092087</v>
      </c>
      <c r="M28" s="283">
        <f t="shared" si="3"/>
        <v>987383929.6654035</v>
      </c>
      <c r="N28" s="283">
        <f>SUM(B28:M28)</f>
        <v>11301377986.266745</v>
      </c>
      <c r="P28" s="282"/>
    </row>
    <row r="29" spans="1:14" ht="12.75">
      <c r="A29" s="235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</row>
    <row r="30" spans="1:16" ht="12.75">
      <c r="A30" s="236" t="s">
        <v>97</v>
      </c>
      <c r="B30" s="283">
        <f>+'Data Inputs - 2011'!C48</f>
        <v>208000</v>
      </c>
      <c r="C30" s="283">
        <f>+'Data Inputs - 2011'!D48</f>
        <v>60000</v>
      </c>
      <c r="D30" s="283">
        <f>+'Data Inputs - 2011'!E48</f>
        <v>350000</v>
      </c>
      <c r="E30" s="283">
        <f>+'Data Inputs - 2011'!F48</f>
        <v>50000</v>
      </c>
      <c r="F30" s="283">
        <f>+'Data Inputs - 2011'!G48</f>
        <v>176000</v>
      </c>
      <c r="G30" s="283">
        <f>+'Data Inputs - 2011'!H48</f>
        <v>0</v>
      </c>
      <c r="H30" s="283">
        <f>+'Data Inputs - 2011'!I48</f>
        <v>1076000</v>
      </c>
      <c r="I30" s="283">
        <f>+'Data Inputs - 2011'!J48</f>
        <v>1230000</v>
      </c>
      <c r="J30" s="283">
        <f>+'Data Inputs - 2011'!K48</f>
        <v>276000</v>
      </c>
      <c r="K30" s="283">
        <f>+'Data Inputs - 2011'!L48</f>
        <v>966000</v>
      </c>
      <c r="L30" s="283">
        <f>+'Data Inputs - 2011'!M48</f>
        <v>21256000</v>
      </c>
      <c r="M30" s="283">
        <f>+'Data Inputs - 2011'!N48</f>
        <v>-4000</v>
      </c>
      <c r="N30" s="283">
        <f>SUM(B30:M30)</f>
        <v>25644000</v>
      </c>
      <c r="P30" s="282"/>
    </row>
    <row r="31" ht="12.75">
      <c r="A31" s="235"/>
    </row>
    <row r="32" spans="1:16" ht="12.75">
      <c r="A32" s="236" t="s">
        <v>144</v>
      </c>
      <c r="B32" s="283">
        <f>B28+B30</f>
        <v>1174481689.348451</v>
      </c>
      <c r="C32" s="283">
        <f>C28+C30</f>
        <v>1093436626.7961144</v>
      </c>
      <c r="D32" s="283">
        <f aca="true" t="shared" si="4" ref="D32:M32">D28+D30</f>
        <v>1123187376.8287432</v>
      </c>
      <c r="E32" s="283">
        <f t="shared" si="4"/>
        <v>970471925.4439958</v>
      </c>
      <c r="F32" s="283">
        <f t="shared" si="4"/>
        <v>946145578.9651206</v>
      </c>
      <c r="G32" s="283">
        <f t="shared" si="4"/>
        <v>858517122.212039</v>
      </c>
      <c r="H32" s="283">
        <f t="shared" si="4"/>
        <v>892046151.3090795</v>
      </c>
      <c r="I32" s="283">
        <f t="shared" si="4"/>
        <v>868809717.1319128</v>
      </c>
      <c r="J32" s="283">
        <f t="shared" si="4"/>
        <v>786738565.011411</v>
      </c>
      <c r="K32" s="283">
        <f t="shared" si="4"/>
        <v>768215914.9452654</v>
      </c>
      <c r="L32" s="283">
        <f t="shared" si="4"/>
        <v>857591388.6092087</v>
      </c>
      <c r="M32" s="283">
        <f t="shared" si="4"/>
        <v>987379929.6654035</v>
      </c>
      <c r="N32" s="283">
        <f>SUM(B32:M32)</f>
        <v>11327021986.266745</v>
      </c>
      <c r="P32" s="282"/>
    </row>
    <row r="33" ht="12.75">
      <c r="A33" s="235"/>
    </row>
    <row r="34" ht="57" customHeight="1">
      <c r="A34" s="287" t="s">
        <v>294</v>
      </c>
    </row>
    <row r="35" spans="1:14" ht="12.75">
      <c r="A35" s="251" t="s">
        <v>93</v>
      </c>
      <c r="B35" s="288">
        <f>'Monthly LL'!B68</f>
        <v>0.125577630534357</v>
      </c>
      <c r="C35" s="288">
        <f>'Monthly LL'!C68</f>
        <v>0.12260785147028241</v>
      </c>
      <c r="D35" s="288">
        <f>'Monthly LL'!D68</f>
        <v>0.10724414782494773</v>
      </c>
      <c r="E35" s="288">
        <f>'Monthly LL'!E68</f>
        <v>0.09426667603603889</v>
      </c>
      <c r="F35" s="288">
        <f>'Monthly LL'!F68</f>
        <v>0.08313677775315598</v>
      </c>
      <c r="G35" s="288">
        <f>'Monthly LL'!G68</f>
        <v>0.0788235089224012</v>
      </c>
      <c r="H35" s="288">
        <f>'Monthly LL'!H68</f>
        <v>0.08283224319842653</v>
      </c>
      <c r="I35" s="288">
        <f>'Monthly LL'!I68</f>
        <v>0.08095745713662406</v>
      </c>
      <c r="J35" s="288">
        <f>'Monthly LL'!J68</f>
        <v>0.0784286328819499</v>
      </c>
      <c r="K35" s="288">
        <f>'Monthly LL'!K68</f>
        <v>0.0873677441974885</v>
      </c>
      <c r="L35" s="288">
        <f>'Monthly LL'!L68</f>
        <v>0.10462607944074631</v>
      </c>
      <c r="M35" s="288">
        <f>'Monthly LL'!M68</f>
        <v>0.13209410872585403</v>
      </c>
      <c r="N35" s="289">
        <f>'Monthly LL'!N68</f>
        <v>0.10241163760971594</v>
      </c>
    </row>
    <row r="36" spans="1:14" ht="12.75">
      <c r="A36" s="251" t="s">
        <v>94</v>
      </c>
      <c r="B36" s="290">
        <f>'Monthly LL'!B69</f>
        <v>0.14623935236977803</v>
      </c>
      <c r="C36" s="290">
        <f>'Monthly LL'!C69</f>
        <v>0.13891529605390596</v>
      </c>
      <c r="D36" s="290">
        <f>'Monthly LL'!D69</f>
        <v>0.12456577733909602</v>
      </c>
      <c r="E36" s="290">
        <f>'Monthly LL'!E69</f>
        <v>0.10954488286536046</v>
      </c>
      <c r="F36" s="290">
        <f>'Monthly LL'!F69</f>
        <v>0.0772023516051561</v>
      </c>
      <c r="G36" s="290">
        <f>'Monthly LL'!G69</f>
        <v>0.07546303824178624</v>
      </c>
      <c r="H36" s="290">
        <f>'Monthly LL'!H69</f>
        <v>0.07821543379293239</v>
      </c>
      <c r="I36" s="290">
        <f>'Monthly LL'!I69</f>
        <v>0.08689116853049694</v>
      </c>
      <c r="J36" s="290">
        <f>'Monthly LL'!J69</f>
        <v>0.07634373485559642</v>
      </c>
      <c r="K36" s="290">
        <f>'Monthly LL'!K69</f>
        <v>0.09910978926854996</v>
      </c>
      <c r="L36" s="290">
        <f>'Monthly LL'!L69</f>
        <v>0.12012773153429968</v>
      </c>
      <c r="M36" s="290">
        <f>'Monthly LL'!M69</f>
        <v>0.14161252331609542</v>
      </c>
      <c r="N36" s="291">
        <f>'Monthly LL'!N69</f>
        <v>0.11787361397613982</v>
      </c>
    </row>
    <row r="37" spans="1:14" ht="12.75">
      <c r="A37" s="251" t="s">
        <v>95</v>
      </c>
      <c r="B37" s="288">
        <f>'Monthly LL'!B70</f>
        <v>0.12667702767107425</v>
      </c>
      <c r="C37" s="288">
        <f>'Monthly LL'!C70</f>
        <v>0.12345165906145339</v>
      </c>
      <c r="D37" s="288">
        <f>'Monthly LL'!D70</f>
        <v>0.10812234340290994</v>
      </c>
      <c r="E37" s="288">
        <f>'Monthly LL'!E70</f>
        <v>0.09505303861799064</v>
      </c>
      <c r="F37" s="288">
        <f>'Monthly LL'!F70</f>
        <v>0.08288059189202435</v>
      </c>
      <c r="G37" s="288">
        <f>'Monthly LL'!G70</f>
        <v>0.07871154408571002</v>
      </c>
      <c r="H37" s="288">
        <f>'Monthly LL'!H70</f>
        <v>0.08270002714076496</v>
      </c>
      <c r="I37" s="288">
        <f>'Monthly LL'!I70</f>
        <v>0.0811186665739172</v>
      </c>
      <c r="J37" s="288">
        <f>'Monthly LL'!J70</f>
        <v>0.07836553985239725</v>
      </c>
      <c r="K37" s="288">
        <f>'Monthly LL'!K70</f>
        <v>0.08780241276172807</v>
      </c>
      <c r="L37" s="288">
        <f>'Monthly LL'!L70</f>
        <v>0.10537353454354847</v>
      </c>
      <c r="M37" s="288">
        <f>'Monthly LL'!M70</f>
        <v>0.1326914235680141</v>
      </c>
      <c r="N37" s="289">
        <f>'Monthly LL'!N70</f>
        <v>0.10311691865229045</v>
      </c>
    </row>
    <row r="38" spans="1:14" ht="12.75">
      <c r="A38" s="251" t="s">
        <v>46</v>
      </c>
      <c r="B38" s="288">
        <f>'Monthly LL'!B71</f>
        <v>0.1158314213882552</v>
      </c>
      <c r="C38" s="288">
        <f>'Monthly LL'!C71</f>
        <v>0.11728723359251259</v>
      </c>
      <c r="D38" s="288">
        <f>'Monthly LL'!D71</f>
        <v>0.10807075175468484</v>
      </c>
      <c r="E38" s="288">
        <f>'Monthly LL'!E71</f>
        <v>0.0965935743135462</v>
      </c>
      <c r="F38" s="288">
        <f>'Monthly LL'!F71</f>
        <v>0.08321775151151334</v>
      </c>
      <c r="G38" s="288">
        <f>'Monthly LL'!G71</f>
        <v>0.0709559539311655</v>
      </c>
      <c r="H38" s="288">
        <f>'Monthly LL'!H71</f>
        <v>0.08373758438717482</v>
      </c>
      <c r="I38" s="288">
        <f>'Monthly LL'!I71</f>
        <v>0.09138511260853965</v>
      </c>
      <c r="J38" s="288">
        <f>'Monthly LL'!J71</f>
        <v>0.07759350940452636</v>
      </c>
      <c r="K38" s="288">
        <f>'Monthly LL'!K71</f>
        <v>0.07688202608508754</v>
      </c>
      <c r="L38" s="288">
        <f>'Monthly LL'!L71</f>
        <v>0.09612406962460063</v>
      </c>
      <c r="M38" s="288">
        <f>'Monthly LL'!M71</f>
        <v>0.1060294833328026</v>
      </c>
      <c r="N38" s="289">
        <f>'Monthly LL'!N71</f>
        <v>0.09586838878253068</v>
      </c>
    </row>
    <row r="39" spans="1:14" ht="12.75">
      <c r="A39" s="251" t="s">
        <v>47</v>
      </c>
      <c r="B39" s="288">
        <f>'Monthly LL'!B72</f>
        <v>0.08112241729089908</v>
      </c>
      <c r="C39" s="288">
        <f>'Monthly LL'!C72</f>
        <v>0.07985028128818272</v>
      </c>
      <c r="D39" s="288">
        <f>'Monthly LL'!D72</f>
        <v>0.07213181936030688</v>
      </c>
      <c r="E39" s="288">
        <f>'Monthly LL'!E72</f>
        <v>0.0619912403299292</v>
      </c>
      <c r="F39" s="288">
        <f>'Monthly LL'!F72</f>
        <v>0.057983809091026295</v>
      </c>
      <c r="G39" s="288">
        <f>'Monthly LL'!G72</f>
        <v>0.05285587551604087</v>
      </c>
      <c r="H39" s="288">
        <f>'Monthly LL'!H72</f>
        <v>0.05979307743496509</v>
      </c>
      <c r="I39" s="288">
        <f>'Monthly LL'!I72</f>
        <v>0.05866540805303089</v>
      </c>
      <c r="J39" s="288">
        <f>'Monthly LL'!J72</f>
        <v>0.05591971911129945</v>
      </c>
      <c r="K39" s="288">
        <f>'Monthly LL'!K72</f>
        <v>0.062239412981072606</v>
      </c>
      <c r="L39" s="288">
        <f>'Monthly LL'!L72</f>
        <v>0.07191979709011975</v>
      </c>
      <c r="M39" s="288">
        <f>'Monthly LL'!M72</f>
        <v>0.07612034014292246</v>
      </c>
      <c r="N39" s="289">
        <f>'Monthly LL'!N72</f>
        <v>0.06661153271759579</v>
      </c>
    </row>
    <row r="40" spans="1:14" ht="12.75">
      <c r="A40" s="251" t="s">
        <v>48</v>
      </c>
      <c r="B40" s="288">
        <f>'Monthly LL'!B73</f>
        <v>0.07583060557556909</v>
      </c>
      <c r="C40" s="288">
        <f>'Monthly LL'!C73</f>
        <v>0.07533170861755889</v>
      </c>
      <c r="D40" s="288">
        <f>'Monthly LL'!D73</f>
        <v>0.07066742636797096</v>
      </c>
      <c r="E40" s="288">
        <f>'Monthly LL'!E73</f>
        <v>0.06519714870405169</v>
      </c>
      <c r="F40" s="288">
        <f>'Monthly LL'!F73</f>
        <v>0.054201723180773875</v>
      </c>
      <c r="G40" s="288">
        <f>'Monthly LL'!G73</f>
        <v>0.05140499328246273</v>
      </c>
      <c r="H40" s="288">
        <f>'Monthly LL'!H73</f>
        <v>0.062031698385114575</v>
      </c>
      <c r="I40" s="288">
        <f>'Monthly LL'!I73</f>
        <v>0.07008950438727513</v>
      </c>
      <c r="J40" s="288">
        <f>'Monthly LL'!J73</f>
        <v>0.0566815358330055</v>
      </c>
      <c r="K40" s="288">
        <f>'Monthly LL'!K73</f>
        <v>0.07118095772977795</v>
      </c>
      <c r="L40" s="288">
        <f>'Monthly LL'!L73</f>
        <v>0.07750083212547287</v>
      </c>
      <c r="M40" s="288">
        <f>'Monthly LL'!M73</f>
        <v>0.07369585720174276</v>
      </c>
      <c r="N40" s="289">
        <f>'Monthly LL'!N73</f>
        <v>0.06699098738794884</v>
      </c>
    </row>
    <row r="41" spans="1:14" ht="12.75">
      <c r="A41" s="251" t="s">
        <v>49</v>
      </c>
      <c r="B41" s="288">
        <f>'Monthly LL'!B74</f>
        <v>0.0680329374587012</v>
      </c>
      <c r="C41" s="288">
        <f>'Monthly LL'!C74</f>
        <v>0.0677691337002535</v>
      </c>
      <c r="D41" s="288">
        <f>'Monthly LL'!D74</f>
        <v>0.06368587617621069</v>
      </c>
      <c r="E41" s="288">
        <f>'Monthly LL'!E74</f>
        <v>0.059687753294169976</v>
      </c>
      <c r="F41" s="288">
        <f>'Monthly LL'!F74</f>
        <v>0.05577251289267471</v>
      </c>
      <c r="G41" s="288">
        <f>'Monthly LL'!G74</f>
        <v>0.0558987291035864</v>
      </c>
      <c r="H41" s="288">
        <f>'Monthly LL'!H74</f>
        <v>0.06070979527425591</v>
      </c>
      <c r="I41" s="288">
        <f>'Monthly LL'!I74</f>
        <v>0.06214551792642009</v>
      </c>
      <c r="J41" s="288">
        <f>'Monthly LL'!J74</f>
        <v>0.06062458403497306</v>
      </c>
      <c r="K41" s="288">
        <f>'Monthly LL'!K74</f>
        <v>0.06397022199370617</v>
      </c>
      <c r="L41" s="288">
        <f>'Monthly LL'!L74</f>
        <v>0.06980551661737144</v>
      </c>
      <c r="M41" s="288">
        <f>'Monthly LL'!M74</f>
        <v>0.06717744341066822</v>
      </c>
      <c r="N41" s="289">
        <f>'Monthly LL'!N74</f>
        <v>0.06300192881964861</v>
      </c>
    </row>
    <row r="42" spans="1:14" ht="12.75">
      <c r="A42" s="251" t="s">
        <v>50</v>
      </c>
      <c r="B42" s="288">
        <f>'Monthly LL'!B75</f>
        <v>0.06281302564206781</v>
      </c>
      <c r="C42" s="288">
        <f>'Monthly LL'!C75</f>
        <v>0.062220496988982354</v>
      </c>
      <c r="D42" s="288">
        <f>'Monthly LL'!D75</f>
        <v>0.05891909425685404</v>
      </c>
      <c r="E42" s="288">
        <f>'Monthly LL'!E75</f>
        <v>0.05581597460716581</v>
      </c>
      <c r="F42" s="288">
        <f>'Monthly LL'!F75</f>
        <v>0.05100803715317315</v>
      </c>
      <c r="G42" s="288">
        <f>'Monthly LL'!G75</f>
        <v>0.04971507255669039</v>
      </c>
      <c r="H42" s="288">
        <f>'Monthly LL'!H75</f>
        <v>0.055179693124387086</v>
      </c>
      <c r="I42" s="288">
        <f>'Monthly LL'!I75</f>
        <v>0.057893659335901404</v>
      </c>
      <c r="J42" s="288">
        <f>'Monthly LL'!J75</f>
        <v>0.051941125139986166</v>
      </c>
      <c r="K42" s="288">
        <f>'Monthly LL'!K75</f>
        <v>0.05991548554726345</v>
      </c>
      <c r="L42" s="288">
        <f>'Monthly LL'!L75</f>
        <v>0.06443063411176642</v>
      </c>
      <c r="M42" s="288">
        <f>'Monthly LL'!M75</f>
        <v>0.06185677085775865</v>
      </c>
      <c r="N42" s="289">
        <f>'Monthly LL'!N75</f>
        <v>0.05761748098658104</v>
      </c>
    </row>
    <row r="43" spans="1:14" ht="12.75">
      <c r="A43" s="251" t="s">
        <v>51</v>
      </c>
      <c r="B43" s="288">
        <f>'Monthly LL'!B76</f>
        <v>0.05040299106206647</v>
      </c>
      <c r="C43" s="288">
        <f>'Monthly LL'!C76</f>
        <v>0.05021730663727553</v>
      </c>
      <c r="D43" s="288">
        <f>'Monthly LL'!D76</f>
        <v>0.0485331140744123</v>
      </c>
      <c r="E43" s="288">
        <f>'Monthly LL'!E76</f>
        <v>0.0466515774166385</v>
      </c>
      <c r="F43" s="288">
        <f>'Monthly LL'!F76</f>
        <v>0.04546386540071001</v>
      </c>
      <c r="G43" s="288">
        <f>'Monthly LL'!G76</f>
        <v>0.045103907422443745</v>
      </c>
      <c r="H43" s="288">
        <f>'Monthly LL'!H76</f>
        <v>0.045352769472924104</v>
      </c>
      <c r="I43" s="288">
        <f>'Monthly LL'!I76</f>
        <v>0.04857879694299205</v>
      </c>
      <c r="J43" s="288">
        <f>'Monthly LL'!J76</f>
        <v>0.049848827190827505</v>
      </c>
      <c r="K43" s="288">
        <f>'Monthly LL'!K76</f>
        <v>0.049500039939094576</v>
      </c>
      <c r="L43" s="288">
        <f>'Monthly LL'!L76</f>
        <v>0.0522617453407217</v>
      </c>
      <c r="M43" s="288">
        <f>'Monthly LL'!M76</f>
        <v>0.05003175974723639</v>
      </c>
      <c r="N43" s="289">
        <f>'Monthly LL'!N76</f>
        <v>0.04848808278365224</v>
      </c>
    </row>
    <row r="44" spans="1:14" ht="12.75">
      <c r="A44" s="251" t="s">
        <v>55</v>
      </c>
      <c r="B44" s="288">
        <f>'Monthly LL'!B77</f>
        <v>0.02039643054221041</v>
      </c>
      <c r="C44" s="288">
        <f>'Monthly LL'!C77</f>
        <v>0.02039951176254773</v>
      </c>
      <c r="D44" s="288">
        <f>'Monthly LL'!D77</f>
        <v>0.02039979163430461</v>
      </c>
      <c r="E44" s="288">
        <f>'Monthly LL'!E77</f>
        <v>0.02039986517024195</v>
      </c>
      <c r="F44" s="288">
        <f>'Monthly LL'!F77</f>
        <v>0.02040299137269197</v>
      </c>
      <c r="G44" s="288">
        <f>'Monthly LL'!G77</f>
        <v>0.020400024061005162</v>
      </c>
      <c r="H44" s="288">
        <f>'Monthly LL'!H77</f>
        <v>0.020399899119122766</v>
      </c>
      <c r="I44" s="288">
        <f>'Monthly LL'!I77</f>
        <v>0.02039922371720304</v>
      </c>
      <c r="J44" s="288">
        <f>'Monthly LL'!J77</f>
        <v>0.020400000000004193</v>
      </c>
      <c r="K44" s="288">
        <f>'Monthly LL'!K77</f>
        <v>0.020397383031496963</v>
      </c>
      <c r="L44" s="288">
        <f>'Monthly LL'!L77</f>
        <v>0.020396577404478977</v>
      </c>
      <c r="M44" s="288">
        <f>'Monthly LL'!M77</f>
        <v>0.02040089147380031</v>
      </c>
      <c r="N44" s="289">
        <f>'Monthly LL'!N77</f>
        <v>0.020399383854256437</v>
      </c>
    </row>
    <row r="45" spans="1:14" ht="12.75">
      <c r="A45" s="251" t="s">
        <v>52</v>
      </c>
      <c r="B45" s="288">
        <f>'Monthly LL'!B78</f>
        <v>0.05165091170701186</v>
      </c>
      <c r="C45" s="288">
        <f>'Monthly LL'!C78</f>
        <v>0.05123019100180404</v>
      </c>
      <c r="D45" s="288">
        <f>'Monthly LL'!D78</f>
        <v>0.052891285339145666</v>
      </c>
      <c r="E45" s="288">
        <f>'Monthly LL'!E78</f>
        <v>0.04885051022553788</v>
      </c>
      <c r="F45" s="288">
        <f>'Monthly LL'!F78</f>
        <v>0.05044734843969567</v>
      </c>
      <c r="G45" s="288">
        <f>'Monthly LL'!G78</f>
        <v>0.04593576085208939</v>
      </c>
      <c r="H45" s="288">
        <f>'Monthly LL'!H78</f>
        <v>0.03577225282337526</v>
      </c>
      <c r="I45" s="288">
        <f>'Monthly LL'!I78</f>
        <v>0.04251146010193585</v>
      </c>
      <c r="J45" s="288">
        <f>'Monthly LL'!J78</f>
        <v>0.034864777678559555</v>
      </c>
      <c r="K45" s="288">
        <f>'Monthly LL'!K78</f>
        <v>0.04154100206075162</v>
      </c>
      <c r="L45" s="288">
        <f>'Monthly LL'!L78</f>
        <v>0.04613004201752302</v>
      </c>
      <c r="M45" s="288">
        <f>'Monthly LL'!M78</f>
        <v>0.05973729220536361</v>
      </c>
      <c r="N45" s="289">
        <f>'Monthly LL'!N78</f>
        <v>0.04753080583403779</v>
      </c>
    </row>
    <row r="46" spans="1:14" ht="12.75">
      <c r="A46" s="251" t="s">
        <v>53</v>
      </c>
      <c r="B46" s="290">
        <f>'Monthly LL'!B79</f>
        <v>0.1414693623394665</v>
      </c>
      <c r="C46" s="290">
        <f>'Monthly LL'!C79</f>
        <v>0.14304646248175046</v>
      </c>
      <c r="D46" s="290">
        <f>'Monthly LL'!D79</f>
        <v>0.13941359461908065</v>
      </c>
      <c r="E46" s="290">
        <f>'Monthly LL'!E79</f>
        <v>0.11252460516824914</v>
      </c>
      <c r="F46" s="290">
        <f>'Monthly LL'!F79</f>
        <v>0.10543357683949695</v>
      </c>
      <c r="G46" s="290">
        <f>'Monthly LL'!G79</f>
        <v>0.07270880493493737</v>
      </c>
      <c r="H46" s="290">
        <f>'Monthly LL'!H79</f>
        <v>0.07981375709842564</v>
      </c>
      <c r="I46" s="290">
        <f>'Monthly LL'!I79</f>
        <v>0.10020281913857931</v>
      </c>
      <c r="J46" s="290">
        <f>'Monthly LL'!J79</f>
        <v>0.07570406683528441</v>
      </c>
      <c r="K46" s="290">
        <f>'Monthly LL'!K79</f>
        <v>0.08817523388898518</v>
      </c>
      <c r="L46" s="290">
        <f>'Monthly LL'!L79</f>
        <v>0.09727275275582903</v>
      </c>
      <c r="M46" s="290">
        <f>'Monthly LL'!M79</f>
        <v>0.1486360818355439</v>
      </c>
      <c r="N46" s="291">
        <f>'Monthly LL'!N79</f>
        <v>0.11209826916438126</v>
      </c>
    </row>
    <row r="47" spans="1:14" ht="12.75">
      <c r="A47" s="248" t="s">
        <v>56</v>
      </c>
      <c r="B47" s="292">
        <f>'Monthly LL'!B80</f>
        <v>0.09083660308532027</v>
      </c>
      <c r="C47" s="292">
        <f>'Monthly LL'!C80</f>
        <v>0.08829105111471702</v>
      </c>
      <c r="D47" s="292">
        <f>'Monthly LL'!D80</f>
        <v>0.07800904927780605</v>
      </c>
      <c r="E47" s="292">
        <f>'Monthly LL'!E80</f>
        <v>0.06721526875917294</v>
      </c>
      <c r="F47" s="292">
        <f>'Monthly LL'!F80</f>
        <v>0.05927487733539949</v>
      </c>
      <c r="G47" s="292">
        <f>'Monthly LL'!G80</f>
        <v>0.054483049405988915</v>
      </c>
      <c r="H47" s="292">
        <f>'Monthly LL'!H80</f>
        <v>0.05815083283461986</v>
      </c>
      <c r="I47" s="292">
        <f>'Monthly LL'!I80</f>
        <v>0.05843279567993842</v>
      </c>
      <c r="J47" s="292">
        <f>'Monthly LL'!J80</f>
        <v>0.05577970437067514</v>
      </c>
      <c r="K47" s="292">
        <f>'Monthly LL'!K80</f>
        <v>0.06241639465420623</v>
      </c>
      <c r="L47" s="292">
        <f>'Monthly LL'!L80</f>
        <v>0.07421938023334551</v>
      </c>
      <c r="M47" s="292">
        <f>'Monthly LL'!M80</f>
        <v>0.09077222050670453</v>
      </c>
      <c r="N47" s="292">
        <f>'Monthly LL'!N80</f>
        <v>0.07132341872168002</v>
      </c>
    </row>
    <row r="48" spans="1:14" ht="12.75">
      <c r="A48" s="248"/>
      <c r="B48" s="289">
        <f>'Monthly LL'!B81</f>
        <v>0</v>
      </c>
      <c r="C48" s="289">
        <f>'Monthly LL'!C81</f>
        <v>0</v>
      </c>
      <c r="D48" s="289">
        <f>'Monthly LL'!D81</f>
        <v>0</v>
      </c>
      <c r="E48" s="289">
        <f>'Monthly LL'!E81</f>
        <v>0</v>
      </c>
      <c r="F48" s="289">
        <f>'Monthly LL'!F81</f>
        <v>0</v>
      </c>
      <c r="G48" s="289">
        <f>'Monthly LL'!G81</f>
        <v>0</v>
      </c>
      <c r="H48" s="289">
        <f>'Monthly LL'!H81</f>
        <v>0</v>
      </c>
      <c r="I48" s="289">
        <f>'Monthly LL'!I81</f>
        <v>0</v>
      </c>
      <c r="J48" s="289">
        <f>'Monthly LL'!J81</f>
        <v>0</v>
      </c>
      <c r="K48" s="289">
        <f>'Monthly LL'!K81</f>
        <v>0</v>
      </c>
      <c r="L48" s="289">
        <f>'Monthly LL'!L81</f>
        <v>0</v>
      </c>
      <c r="M48" s="289">
        <f>'Monthly LL'!M81</f>
        <v>0</v>
      </c>
      <c r="N48" s="289">
        <f>'Monthly LL'!N81</f>
        <v>0</v>
      </c>
    </row>
    <row r="49" spans="1:14" ht="12.75">
      <c r="A49" s="377" t="s">
        <v>96</v>
      </c>
      <c r="B49" s="289">
        <f>'Monthly LL'!B82</f>
        <v>0</v>
      </c>
      <c r="C49" s="289">
        <f>'Monthly LL'!C82</f>
        <v>0</v>
      </c>
      <c r="D49" s="289">
        <f>'Monthly LL'!D82</f>
        <v>0</v>
      </c>
      <c r="E49" s="289">
        <f>'Monthly LL'!E82</f>
        <v>0</v>
      </c>
      <c r="F49" s="289">
        <f>'Monthly LL'!F82</f>
        <v>0</v>
      </c>
      <c r="G49" s="289">
        <f>'Monthly LL'!G82</f>
        <v>0</v>
      </c>
      <c r="H49" s="289">
        <f>'Monthly LL'!H82</f>
        <v>0</v>
      </c>
      <c r="I49" s="289">
        <f>'Monthly LL'!I82</f>
        <v>0</v>
      </c>
      <c r="J49" s="289">
        <f>'Monthly LL'!J82</f>
        <v>0</v>
      </c>
      <c r="K49" s="289">
        <f>'Monthly LL'!K82</f>
        <v>0</v>
      </c>
      <c r="L49" s="289">
        <f>'Monthly LL'!L82</f>
        <v>0</v>
      </c>
      <c r="M49" s="289">
        <f>'Monthly LL'!M82</f>
        <v>0</v>
      </c>
      <c r="N49" s="289">
        <f>'Monthly LL'!N82</f>
        <v>0</v>
      </c>
    </row>
    <row r="50" spans="1:14" ht="12.75">
      <c r="A50" s="378" t="s">
        <v>74</v>
      </c>
      <c r="B50" s="289">
        <f>'Monthly LL'!B83</f>
        <v>0</v>
      </c>
      <c r="C50" s="289">
        <f>'Monthly LL'!C83</f>
        <v>0</v>
      </c>
      <c r="D50" s="289">
        <f>'Monthly LL'!D83</f>
        <v>0</v>
      </c>
      <c r="E50" s="289">
        <f>'Monthly LL'!E83</f>
        <v>0</v>
      </c>
      <c r="F50" s="289">
        <f>'Monthly LL'!F83</f>
        <v>0</v>
      </c>
      <c r="G50" s="289">
        <f>'Monthly LL'!G83</f>
        <v>0</v>
      </c>
      <c r="H50" s="289">
        <f>'Monthly LL'!H83</f>
        <v>0</v>
      </c>
      <c r="I50" s="289">
        <f>'Monthly LL'!I83</f>
        <v>0</v>
      </c>
      <c r="J50" s="289">
        <f>'Monthly LL'!J83</f>
        <v>0</v>
      </c>
      <c r="K50" s="289">
        <f>'Monthly LL'!K83</f>
        <v>0</v>
      </c>
      <c r="L50" s="289">
        <f>'Monthly LL'!L83</f>
        <v>0</v>
      </c>
      <c r="M50" s="289">
        <f>'Monthly LL'!M83</f>
        <v>0</v>
      </c>
      <c r="N50" s="289">
        <f>'Monthly LL'!N83</f>
        <v>0</v>
      </c>
    </row>
    <row r="51" spans="1:14" ht="12.75">
      <c r="A51" s="378" t="s">
        <v>171</v>
      </c>
      <c r="B51" s="289">
        <f>'Monthly LL'!B84</f>
        <v>0.020399999999999974</v>
      </c>
      <c r="C51" s="289">
        <f>'Monthly LL'!C84</f>
        <v>0.020400000000000196</v>
      </c>
      <c r="D51" s="289">
        <f>'Monthly LL'!D84</f>
        <v>0.020399999999999974</v>
      </c>
      <c r="E51" s="289">
        <f>'Monthly LL'!E84</f>
        <v>0.020400000000000196</v>
      </c>
      <c r="F51" s="289">
        <f>'Monthly LL'!F84</f>
        <v>0.020399999999999974</v>
      </c>
      <c r="G51" s="289">
        <f>'Monthly LL'!G84</f>
        <v>0.020400000000000196</v>
      </c>
      <c r="H51" s="289">
        <f>'Monthly LL'!H84</f>
        <v>0.020399999999999974</v>
      </c>
      <c r="I51" s="289">
        <f>'Monthly LL'!I84</f>
        <v>0.020399999999999974</v>
      </c>
      <c r="J51" s="289">
        <f>'Monthly LL'!J84</f>
        <v>0.020400000000000196</v>
      </c>
      <c r="K51" s="289">
        <f>'Monthly LL'!K84</f>
        <v>0.020399999999999974</v>
      </c>
      <c r="L51" s="289">
        <f>'Monthly LL'!L84</f>
        <v>0.020400000000000196</v>
      </c>
      <c r="M51" s="289">
        <f>'Monthly LL'!M84</f>
        <v>0.020399999999999974</v>
      </c>
      <c r="N51" s="289">
        <f>'Monthly LL'!N84</f>
        <v>0.020399999999999974</v>
      </c>
    </row>
    <row r="52" spans="1:14" ht="12.75">
      <c r="A52" s="379" t="s">
        <v>172</v>
      </c>
      <c r="B52" s="293">
        <f>'Monthly LL'!B85</f>
        <v>0</v>
      </c>
      <c r="C52" s="293">
        <f>'Monthly LL'!C85</f>
        <v>0</v>
      </c>
      <c r="D52" s="293">
        <f>'Monthly LL'!D85</f>
        <v>0</v>
      </c>
      <c r="E52" s="293">
        <f>'Monthly LL'!E85</f>
        <v>0</v>
      </c>
      <c r="F52" s="293">
        <f>'Monthly LL'!F85</f>
        <v>0</v>
      </c>
      <c r="G52" s="293">
        <f>'Monthly LL'!G85</f>
        <v>0</v>
      </c>
      <c r="H52" s="293">
        <f>'Monthly LL'!H85</f>
        <v>0</v>
      </c>
      <c r="I52" s="293">
        <f>'Monthly LL'!I85</f>
        <v>0</v>
      </c>
      <c r="J52" s="293">
        <f>'Monthly LL'!J85</f>
        <v>0</v>
      </c>
      <c r="K52" s="293">
        <f>'Monthly LL'!K85</f>
        <v>0</v>
      </c>
      <c r="L52" s="293">
        <f>'Monthly LL'!L85</f>
        <v>0</v>
      </c>
      <c r="M52" s="293">
        <f>'Monthly LL'!M85</f>
        <v>0</v>
      </c>
      <c r="N52" s="293">
        <f>'Monthly LL'!N85</f>
        <v>0</v>
      </c>
    </row>
    <row r="53" spans="1:14" ht="12.75">
      <c r="A53" s="235" t="s">
        <v>31</v>
      </c>
      <c r="B53" s="289">
        <f>'Monthly LL'!B86</f>
        <v>0.02351475546796178</v>
      </c>
      <c r="C53" s="289">
        <f>'Monthly LL'!C86</f>
        <v>0.022197906809981127</v>
      </c>
      <c r="D53" s="289">
        <f>'Monthly LL'!D86</f>
        <v>0.02147223479291127</v>
      </c>
      <c r="E53" s="289">
        <f>'Monthly LL'!E86</f>
        <v>0.02123572445738109</v>
      </c>
      <c r="F53" s="289">
        <f>'Monthly LL'!F86</f>
        <v>0.022272243279221282</v>
      </c>
      <c r="G53" s="289">
        <f>'Monthly LL'!G86</f>
        <v>0.02477037815302552</v>
      </c>
      <c r="H53" s="289">
        <f>'Monthly LL'!H86</f>
        <v>0.023397053977209703</v>
      </c>
      <c r="I53" s="289">
        <f>'Monthly LL'!I86</f>
        <v>0.023664634576626264</v>
      </c>
      <c r="J53" s="289">
        <f>'Monthly LL'!J86</f>
        <v>0.023633844421510064</v>
      </c>
      <c r="K53" s="289">
        <f>'Monthly LL'!K86</f>
        <v>0.023046859623501392</v>
      </c>
      <c r="L53" s="289">
        <f>'Monthly LL'!L86</f>
        <v>0.023184998884930197</v>
      </c>
      <c r="M53" s="289">
        <f>'Monthly LL'!M86</f>
        <v>0.023321517132322</v>
      </c>
      <c r="N53" s="289">
        <f>'Monthly LL'!N86</f>
        <v>0.023097789906859845</v>
      </c>
    </row>
    <row r="54" spans="1:14" ht="12.75">
      <c r="A54" s="235" t="s">
        <v>291</v>
      </c>
      <c r="B54" s="289">
        <f>'Monthly LL'!B87</f>
        <v>0.020400000000000418</v>
      </c>
      <c r="C54" s="289">
        <f>'Monthly LL'!C87</f>
        <v>0.020400000000000418</v>
      </c>
      <c r="D54" s="289">
        <f>'Monthly LL'!D87</f>
        <v>0.020400000000000418</v>
      </c>
      <c r="E54" s="289">
        <f>'Monthly LL'!E87</f>
        <v>0.020400000000000418</v>
      </c>
      <c r="F54" s="289">
        <f>'Monthly LL'!F87</f>
        <v>0.020400000000000418</v>
      </c>
      <c r="G54" s="289">
        <f>'Monthly LL'!G87</f>
        <v>0.020400000000000418</v>
      </c>
      <c r="H54" s="289">
        <f>'Monthly LL'!H87</f>
        <v>0.020400000000000418</v>
      </c>
      <c r="I54" s="289">
        <f>'Monthly LL'!I87</f>
        <v>0.020400000000000418</v>
      </c>
      <c r="J54" s="289">
        <f>'Monthly LL'!J87</f>
        <v>0.020400000000000418</v>
      </c>
      <c r="K54" s="289">
        <f>'Monthly LL'!K87</f>
        <v>0.020400000000000418</v>
      </c>
      <c r="L54" s="289">
        <f>'Monthly LL'!L87</f>
        <v>0.020400000000000418</v>
      </c>
      <c r="M54" s="289">
        <f>'Monthly LL'!M87</f>
        <v>0.020400000000000418</v>
      </c>
      <c r="N54" s="289">
        <f>'Monthly LL'!N87</f>
        <v>0.020400000000000196</v>
      </c>
    </row>
    <row r="55" spans="1:14" ht="12.75">
      <c r="A55" s="380" t="s">
        <v>140</v>
      </c>
      <c r="B55" s="291">
        <f>'Monthly LL'!B88</f>
        <v>0</v>
      </c>
      <c r="C55" s="291">
        <f>'Monthly LL'!C88</f>
        <v>0</v>
      </c>
      <c r="D55" s="291">
        <f>'Monthly LL'!D88</f>
        <v>0</v>
      </c>
      <c r="E55" s="290">
        <f>'Monthly LL'!E88</f>
        <v>0</v>
      </c>
      <c r="F55" s="290">
        <f>'Monthly LL'!F88</f>
        <v>0</v>
      </c>
      <c r="G55" s="290">
        <f>'Monthly LL'!G88</f>
        <v>0</v>
      </c>
      <c r="H55" s="290">
        <f>'Monthly LL'!H88</f>
        <v>0</v>
      </c>
      <c r="I55" s="290">
        <f>'Monthly LL'!I88</f>
        <v>0</v>
      </c>
      <c r="J55" s="291">
        <f>'Monthly LL'!J88</f>
        <v>0</v>
      </c>
      <c r="K55" s="291">
        <f>'Monthly LL'!K88</f>
        <v>0</v>
      </c>
      <c r="L55" s="291">
        <f>'Monthly LL'!L88</f>
        <v>0</v>
      </c>
      <c r="M55" s="291">
        <f>'Monthly LL'!M88</f>
        <v>0</v>
      </c>
      <c r="N55" s="289">
        <f>'Monthly LL'!N88</f>
        <v>0</v>
      </c>
    </row>
    <row r="56" spans="1:14" ht="12.75">
      <c r="A56" s="236" t="s">
        <v>99</v>
      </c>
      <c r="B56" s="292">
        <f>'Monthly LL'!B89</f>
        <v>0.02043511712158308</v>
      </c>
      <c r="C56" s="292">
        <f>'Monthly LL'!C89</f>
        <v>0.020387604392920755</v>
      </c>
      <c r="D56" s="292">
        <f>'Monthly LL'!D89</f>
        <v>0.020421845396824123</v>
      </c>
      <c r="E56" s="292">
        <f>'Monthly LL'!E89</f>
        <v>0.020403746350095897</v>
      </c>
      <c r="F56" s="292">
        <f>'Monthly LL'!F89</f>
        <v>0.020471793012022843</v>
      </c>
      <c r="G56" s="292">
        <f>'Monthly LL'!G89</f>
        <v>0.020329924382616937</v>
      </c>
      <c r="H56" s="292">
        <f>'Monthly LL'!H89</f>
        <v>0.020619446048623757</v>
      </c>
      <c r="I56" s="292">
        <f>'Monthly LL'!I89</f>
        <v>0.02045559298952271</v>
      </c>
      <c r="J56" s="292">
        <f>'Monthly LL'!J89</f>
        <v>0.020661327037482913</v>
      </c>
      <c r="K56" s="292">
        <f>'Monthly LL'!K89</f>
        <v>0.020469334983878484</v>
      </c>
      <c r="L56" s="292">
        <f>'Monthly LL'!L89</f>
        <v>0.02049391199129258</v>
      </c>
      <c r="M56" s="292">
        <f>'Monthly LL'!M89</f>
        <v>0.020518027298804364</v>
      </c>
      <c r="N56" s="292">
        <f>'Monthly LL'!N89</f>
        <v>0.020475534109600346</v>
      </c>
    </row>
    <row r="57" spans="1:14" ht="7.5" customHeight="1">
      <c r="A57" s="235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</row>
    <row r="58" spans="1:14" ht="12.75">
      <c r="A58" s="236" t="s">
        <v>142</v>
      </c>
      <c r="B58" s="292">
        <f>'Monthly LL'!B91</f>
        <v>0</v>
      </c>
      <c r="C58" s="292">
        <f>'Monthly LL'!C91</f>
        <v>0</v>
      </c>
      <c r="D58" s="292">
        <f>'Monthly LL'!D91</f>
        <v>0</v>
      </c>
      <c r="E58" s="292">
        <f>'Monthly LL'!E91</f>
        <v>0</v>
      </c>
      <c r="F58" s="292">
        <f>'Monthly LL'!F91</f>
        <v>0</v>
      </c>
      <c r="G58" s="292">
        <f>'Monthly LL'!G91</f>
        <v>0</v>
      </c>
      <c r="H58" s="292">
        <f>'Monthly LL'!H91</f>
        <v>0</v>
      </c>
      <c r="I58" s="292">
        <f>'Monthly LL'!I91</f>
        <v>0</v>
      </c>
      <c r="J58" s="292">
        <f>'Monthly LL'!J91</f>
        <v>0</v>
      </c>
      <c r="K58" s="292">
        <f>'Monthly LL'!K91</f>
        <v>0</v>
      </c>
      <c r="L58" s="292">
        <f>'Monthly LL'!L91</f>
        <v>0</v>
      </c>
      <c r="M58" s="292">
        <f>'Monthly LL'!M91</f>
        <v>0</v>
      </c>
      <c r="N58" s="292">
        <f>'Monthly LL'!N91</f>
        <v>0</v>
      </c>
    </row>
    <row r="59" spans="1:14" ht="5.25" customHeight="1">
      <c r="A59" s="235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</row>
    <row r="60" spans="1:14" ht="12.75">
      <c r="A60" s="236" t="s">
        <v>97</v>
      </c>
      <c r="B60" s="292">
        <f>'Monthly LL'!B93</f>
        <v>0</v>
      </c>
      <c r="C60" s="292">
        <f>'Monthly LL'!C93</f>
        <v>0.030806507442021402</v>
      </c>
      <c r="D60" s="292">
        <f>'Monthly LL'!D93</f>
        <v>0.030878552971576267</v>
      </c>
      <c r="E60" s="292">
        <f>'Monthly LL'!E93</f>
        <v>0.03086164043082018</v>
      </c>
      <c r="F60" s="292">
        <f>'Monthly LL'!F93</f>
        <v>0.03092223248736481</v>
      </c>
      <c r="G60" s="292">
        <f>'Monthly LL'!G93</f>
        <v>0.0309431471243502</v>
      </c>
      <c r="H60" s="292">
        <f>'Monthly LL'!H93</f>
        <v>0.03091258689542964</v>
      </c>
      <c r="I60" s="292">
        <f>'Monthly LL'!I93</f>
        <v>0.030889033095392593</v>
      </c>
      <c r="J60" s="292">
        <f>'Monthly LL'!J93</f>
        <v>0.030940594059405857</v>
      </c>
      <c r="K60" s="292">
        <f>'Monthly LL'!K93</f>
        <v>0.030914770717906492</v>
      </c>
      <c r="L60" s="292">
        <f>'Monthly LL'!L93</f>
        <v>0.030925469045843146</v>
      </c>
      <c r="M60" s="292">
        <f>'Monthly LL'!M93</f>
        <v>0.03100454733360891</v>
      </c>
      <c r="N60" s="292">
        <f>'Monthly LL'!N93</f>
        <v>0.030921957060228378</v>
      </c>
    </row>
    <row r="61" spans="1:14" ht="5.25" customHeight="1">
      <c r="A61" s="236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</row>
    <row r="62" spans="1:14" ht="12.75">
      <c r="A62" s="236" t="s">
        <v>292</v>
      </c>
      <c r="B62" s="292">
        <f>'Monthly LL'!B95</f>
        <v>0</v>
      </c>
      <c r="C62" s="292">
        <f>'Monthly LL'!C95</f>
        <v>7.751075592321577E-05</v>
      </c>
      <c r="D62" s="292">
        <f>'Monthly LL'!D95</f>
        <v>0.00020188002037402342</v>
      </c>
      <c r="E62" s="292">
        <f>'Monthly LL'!E95</f>
        <v>0.00014623548195813463</v>
      </c>
      <c r="F62" s="292">
        <f>'Monthly LL'!F95</f>
        <v>0.0005787249859918742</v>
      </c>
      <c r="G62" s="292">
        <f>'Monthly LL'!G95</f>
        <v>0.0008194890533113064</v>
      </c>
      <c r="H62" s="292">
        <f>'Monthly LL'!H95</f>
        <v>0.00022340698000955506</v>
      </c>
      <c r="I62" s="292">
        <f>'Monthly LL'!I95</f>
        <v>0.0002549387702690531</v>
      </c>
      <c r="J62" s="292">
        <f>'Monthly LL'!J95</f>
        <v>0.0009772929868185898</v>
      </c>
      <c r="K62" s="292">
        <f>'Monthly LL'!K95</f>
        <v>0.001059118710387441</v>
      </c>
      <c r="L62" s="292">
        <f>'Monthly LL'!L95</f>
        <v>0.0005168148495682257</v>
      </c>
      <c r="M62" s="292">
        <f>'Monthly LL'!M95</f>
        <v>0.0001233278221408618</v>
      </c>
      <c r="N62" s="292">
        <f>'Monthly LL'!N95</f>
        <v>0.0003883188913011981</v>
      </c>
    </row>
    <row r="63" spans="1:14" ht="12.75">
      <c r="A63" s="236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</row>
    <row r="64" ht="31.5">
      <c r="A64" s="295" t="s">
        <v>295</v>
      </c>
    </row>
    <row r="65" spans="1:16" ht="12.75">
      <c r="A65" s="251" t="s">
        <v>93</v>
      </c>
      <c r="B65" s="278">
        <f aca="true" t="shared" si="5" ref="B65:M76">+B5*(1+B35)</f>
        <v>553330970.2597706</v>
      </c>
      <c r="C65" s="278">
        <f t="shared" si="5"/>
        <v>502071845.1279565</v>
      </c>
      <c r="D65" s="278">
        <f t="shared" si="5"/>
        <v>481190141.2706748</v>
      </c>
      <c r="E65" s="278">
        <f t="shared" si="5"/>
        <v>375148224.4041769</v>
      </c>
      <c r="F65" s="278">
        <f t="shared" si="5"/>
        <v>344377665.8010295</v>
      </c>
      <c r="G65" s="278">
        <f t="shared" si="5"/>
        <v>283056272.4865903</v>
      </c>
      <c r="H65" s="278">
        <f t="shared" si="5"/>
        <v>277017187.7201538</v>
      </c>
      <c r="I65" s="278">
        <f t="shared" si="5"/>
        <v>276799119.07218194</v>
      </c>
      <c r="J65" s="278">
        <f t="shared" si="5"/>
        <v>277399814.56628895</v>
      </c>
      <c r="K65" s="278">
        <f t="shared" si="5"/>
        <v>310740679.4591741</v>
      </c>
      <c r="L65" s="278">
        <f t="shared" si="5"/>
        <v>366705828.58109</v>
      </c>
      <c r="M65" s="278">
        <f>+M5*(1+M35)</f>
        <v>491324586.1235892</v>
      </c>
      <c r="N65" s="278">
        <f>SUM(B65:M65)</f>
        <v>4539162334.872677</v>
      </c>
      <c r="O65" s="282">
        <f aca="true" t="shared" si="6" ref="O65:O88">N65*$N$130</f>
        <v>4498501318.000122</v>
      </c>
      <c r="P65" s="282"/>
    </row>
    <row r="66" spans="1:16" ht="12.75">
      <c r="A66" s="251" t="s">
        <v>94</v>
      </c>
      <c r="B66" s="280">
        <f t="shared" si="5"/>
        <v>28119512.665754903</v>
      </c>
      <c r="C66" s="280">
        <f t="shared" si="5"/>
        <v>26858297.70403663</v>
      </c>
      <c r="D66" s="280">
        <f t="shared" si="5"/>
        <v>26474757.028366696</v>
      </c>
      <c r="E66" s="280">
        <f t="shared" si="5"/>
        <v>21140526.137737025</v>
      </c>
      <c r="F66" s="280">
        <f t="shared" si="5"/>
        <v>14611559.42822758</v>
      </c>
      <c r="G66" s="280">
        <f t="shared" si="5"/>
        <v>9830888.295533517</v>
      </c>
      <c r="H66" s="280">
        <f t="shared" si="5"/>
        <v>7831911.797736714</v>
      </c>
      <c r="I66" s="280">
        <f t="shared" si="5"/>
        <v>8088092.03972099</v>
      </c>
      <c r="J66" s="280">
        <f t="shared" si="5"/>
        <v>8963113.681524819</v>
      </c>
      <c r="K66" s="280">
        <f t="shared" si="5"/>
        <v>12339372.299144113</v>
      </c>
      <c r="L66" s="280">
        <f t="shared" si="5"/>
        <v>19152107.400301203</v>
      </c>
      <c r="M66" s="280">
        <f t="shared" si="5"/>
        <v>33726160.586349905</v>
      </c>
      <c r="N66" s="280">
        <f>SUM(B66:M66)</f>
        <v>217136299.0644341</v>
      </c>
      <c r="O66" s="282">
        <f t="shared" si="6"/>
        <v>215191230.33400488</v>
      </c>
      <c r="P66" s="282"/>
    </row>
    <row r="67" spans="1:16" ht="12.75">
      <c r="A67" s="251" t="s">
        <v>95</v>
      </c>
      <c r="B67" s="278">
        <f>SUM(B65:B66)</f>
        <v>581450482.9255255</v>
      </c>
      <c r="C67" s="278">
        <f aca="true" t="shared" si="7" ref="C67:N67">SUM(C65:C66)</f>
        <v>528930142.83199316</v>
      </c>
      <c r="D67" s="278">
        <f t="shared" si="7"/>
        <v>507664898.2990415</v>
      </c>
      <c r="E67" s="278">
        <f t="shared" si="7"/>
        <v>396288750.5419139</v>
      </c>
      <c r="F67" s="278">
        <f t="shared" si="7"/>
        <v>358989225.2292571</v>
      </c>
      <c r="G67" s="278">
        <f t="shared" si="7"/>
        <v>292887160.78212386</v>
      </c>
      <c r="H67" s="278">
        <f t="shared" si="7"/>
        <v>284849099.5178905</v>
      </c>
      <c r="I67" s="278">
        <f t="shared" si="7"/>
        <v>284887211.11190295</v>
      </c>
      <c r="J67" s="278">
        <f t="shared" si="7"/>
        <v>286362928.24781376</v>
      </c>
      <c r="K67" s="278">
        <f t="shared" si="7"/>
        <v>323080051.7583182</v>
      </c>
      <c r="L67" s="278">
        <f t="shared" si="7"/>
        <v>385857935.9813912</v>
      </c>
      <c r="M67" s="278">
        <f t="shared" si="7"/>
        <v>525050746.7099391</v>
      </c>
      <c r="N67" s="278">
        <f t="shared" si="7"/>
        <v>4756298633.937111</v>
      </c>
      <c r="O67" s="282">
        <f t="shared" si="6"/>
        <v>4713692548.334127</v>
      </c>
      <c r="P67" s="282"/>
    </row>
    <row r="68" spans="1:16" ht="12.75">
      <c r="A68" s="251" t="s">
        <v>46</v>
      </c>
      <c r="B68" s="278">
        <f t="shared" si="5"/>
        <v>27956307.21573742</v>
      </c>
      <c r="C68" s="278">
        <f t="shared" si="5"/>
        <v>26756022.542398266</v>
      </c>
      <c r="D68" s="278">
        <f t="shared" si="5"/>
        <v>27456140.21870735</v>
      </c>
      <c r="E68" s="278">
        <f t="shared" si="5"/>
        <v>21573974.573444128</v>
      </c>
      <c r="F68" s="278">
        <f t="shared" si="5"/>
        <v>21345308.319831267</v>
      </c>
      <c r="G68" s="278">
        <f t="shared" si="5"/>
        <v>18178138.830957036</v>
      </c>
      <c r="H68" s="278">
        <f t="shared" si="5"/>
        <v>18933162.576825112</v>
      </c>
      <c r="I68" s="278">
        <f t="shared" si="5"/>
        <v>18941907.726740945</v>
      </c>
      <c r="J68" s="278">
        <f t="shared" si="5"/>
        <v>19050006.425687134</v>
      </c>
      <c r="K68" s="278">
        <f t="shared" si="5"/>
        <v>19465656.868101943</v>
      </c>
      <c r="L68" s="278">
        <f t="shared" si="5"/>
        <v>19442791.31199569</v>
      </c>
      <c r="M68" s="278">
        <f t="shared" si="5"/>
        <v>24503196.398803145</v>
      </c>
      <c r="N68" s="278">
        <f>SUM(B68:M68)</f>
        <v>263602613.00922945</v>
      </c>
      <c r="O68" s="282">
        <f t="shared" si="6"/>
        <v>261241307.2209626</v>
      </c>
      <c r="P68" s="282"/>
    </row>
    <row r="69" spans="1:16" ht="12.75">
      <c r="A69" s="251" t="s">
        <v>47</v>
      </c>
      <c r="B69" s="278">
        <f t="shared" si="5"/>
        <v>259014702.34138307</v>
      </c>
      <c r="C69" s="278">
        <f t="shared" si="5"/>
        <v>245524123.1094577</v>
      </c>
      <c r="D69" s="278">
        <f t="shared" si="5"/>
        <v>244643929.66472575</v>
      </c>
      <c r="E69" s="278">
        <f t="shared" si="5"/>
        <v>205939427.99084425</v>
      </c>
      <c r="F69" s="278">
        <f t="shared" si="5"/>
        <v>201133162.3097019</v>
      </c>
      <c r="G69" s="278">
        <f t="shared" si="5"/>
        <v>199269063.4834231</v>
      </c>
      <c r="H69" s="278">
        <f t="shared" si="5"/>
        <v>207544875.6607996</v>
      </c>
      <c r="I69" s="278">
        <f t="shared" si="5"/>
        <v>201769303.81129786</v>
      </c>
      <c r="J69" s="278">
        <f t="shared" si="5"/>
        <v>192630105.71154243</v>
      </c>
      <c r="K69" s="278">
        <f t="shared" si="5"/>
        <v>209445561.60255688</v>
      </c>
      <c r="L69" s="278">
        <f t="shared" si="5"/>
        <v>213765024.11540687</v>
      </c>
      <c r="M69" s="278">
        <f t="shared" si="5"/>
        <v>244703699.50470874</v>
      </c>
      <c r="N69" s="278">
        <f>SUM(B69:M69)</f>
        <v>2625382979.305848</v>
      </c>
      <c r="O69" s="282">
        <f t="shared" si="6"/>
        <v>2601865260.89372</v>
      </c>
      <c r="P69" s="282"/>
    </row>
    <row r="70" spans="1:16" ht="12.75">
      <c r="A70" s="251" t="s">
        <v>48</v>
      </c>
      <c r="B70" s="278">
        <f t="shared" si="5"/>
        <v>37757950.17092748</v>
      </c>
      <c r="C70" s="278">
        <f t="shared" si="5"/>
        <v>33096016.285318375</v>
      </c>
      <c r="D70" s="278">
        <f t="shared" si="5"/>
        <v>39855365.82371847</v>
      </c>
      <c r="E70" s="278">
        <f t="shared" si="5"/>
        <v>34516914.70589326</v>
      </c>
      <c r="F70" s="278">
        <f t="shared" si="5"/>
        <v>35321063.52382869</v>
      </c>
      <c r="G70" s="278">
        <f t="shared" si="5"/>
        <v>34843366.967457056</v>
      </c>
      <c r="H70" s="278">
        <f t="shared" si="5"/>
        <v>40324663.88739584</v>
      </c>
      <c r="I70" s="278">
        <f t="shared" si="5"/>
        <v>41074121.85020088</v>
      </c>
      <c r="J70" s="278">
        <f t="shared" si="5"/>
        <v>37841134.20076883</v>
      </c>
      <c r="K70" s="278">
        <f t="shared" si="5"/>
        <v>37323331.641493805</v>
      </c>
      <c r="L70" s="278">
        <f t="shared" si="5"/>
        <v>35526288.688473895</v>
      </c>
      <c r="M70" s="278">
        <f>+M10*(1+M40)</f>
        <v>35497206.21661138</v>
      </c>
      <c r="N70" s="278">
        <f>SUM(B70:M70)</f>
        <v>442977423.9620879</v>
      </c>
      <c r="O70" s="282">
        <f t="shared" si="6"/>
        <v>439009310.20429075</v>
      </c>
      <c r="P70" s="282"/>
    </row>
    <row r="71" spans="1:16" ht="12.75">
      <c r="A71" s="251" t="s">
        <v>49</v>
      </c>
      <c r="B71" s="278">
        <f t="shared" si="5"/>
        <v>25517580.703513328</v>
      </c>
      <c r="C71" s="278">
        <f t="shared" si="5"/>
        <v>23691113.762072656</v>
      </c>
      <c r="D71" s="278">
        <f t="shared" si="5"/>
        <v>25340207.313248187</v>
      </c>
      <c r="E71" s="278">
        <f t="shared" si="5"/>
        <v>21435335.458858352</v>
      </c>
      <c r="F71" s="278">
        <f t="shared" si="5"/>
        <v>21989472.43349257</v>
      </c>
      <c r="G71" s="278">
        <f t="shared" si="5"/>
        <v>21400830.968424495</v>
      </c>
      <c r="H71" s="278">
        <f t="shared" si="5"/>
        <v>24470118.578994155</v>
      </c>
      <c r="I71" s="278">
        <f t="shared" si="5"/>
        <v>20079306.395136755</v>
      </c>
      <c r="J71" s="278">
        <f t="shared" si="5"/>
        <v>22526861.65252409</v>
      </c>
      <c r="K71" s="278">
        <f t="shared" si="5"/>
        <v>17671345.514623262</v>
      </c>
      <c r="L71" s="278">
        <f t="shared" si="5"/>
        <v>22163298.79597099</v>
      </c>
      <c r="M71" s="278">
        <f t="shared" si="5"/>
        <v>25639266.00232559</v>
      </c>
      <c r="N71" s="278">
        <f>SUM(B71:M71)</f>
        <v>271924737.5791844</v>
      </c>
      <c r="O71" s="282">
        <f t="shared" si="6"/>
        <v>269488883.6645034</v>
      </c>
      <c r="P71" s="282"/>
    </row>
    <row r="72" spans="1:16" ht="12.75">
      <c r="A72" s="251" t="s">
        <v>50</v>
      </c>
      <c r="B72" s="278">
        <f t="shared" si="5"/>
        <v>39684024.162937164</v>
      </c>
      <c r="C72" s="278">
        <f t="shared" si="5"/>
        <v>41183016.84227464</v>
      </c>
      <c r="D72" s="278">
        <f t="shared" si="5"/>
        <v>45949773.6986713</v>
      </c>
      <c r="E72" s="278">
        <f t="shared" si="5"/>
        <v>44577472.67139284</v>
      </c>
      <c r="F72" s="278">
        <f t="shared" si="5"/>
        <v>40213196.05022344</v>
      </c>
      <c r="G72" s="278">
        <f t="shared" si="5"/>
        <v>43665992.6758469</v>
      </c>
      <c r="H72" s="278">
        <f t="shared" si="5"/>
        <v>43688404.48964014</v>
      </c>
      <c r="I72" s="278">
        <f t="shared" si="5"/>
        <v>42342353.397427596</v>
      </c>
      <c r="J72" s="278">
        <f t="shared" si="5"/>
        <v>45331704.07167495</v>
      </c>
      <c r="K72" s="278">
        <f t="shared" si="5"/>
        <v>44299162.43659089</v>
      </c>
      <c r="L72" s="278">
        <f>+L12*(1+L42)</f>
        <v>43786554.425844625</v>
      </c>
      <c r="M72" s="278">
        <f t="shared" si="5"/>
        <v>44496582.82816915</v>
      </c>
      <c r="N72" s="278">
        <f aca="true" t="shared" si="8" ref="N72:N86">SUM(B72:M72)</f>
        <v>519218237.7506937</v>
      </c>
      <c r="O72" s="282">
        <f t="shared" si="6"/>
        <v>514567172.2085949</v>
      </c>
      <c r="P72" s="282"/>
    </row>
    <row r="73" spans="1:16" ht="12.75">
      <c r="A73" s="251" t="s">
        <v>51</v>
      </c>
      <c r="B73" s="278">
        <f t="shared" si="5"/>
        <v>81315444.88856699</v>
      </c>
      <c r="C73" s="278">
        <f t="shared" si="5"/>
        <v>76429740.59096572</v>
      </c>
      <c r="D73" s="278">
        <f t="shared" si="5"/>
        <v>81301170.75938766</v>
      </c>
      <c r="E73" s="278">
        <f t="shared" si="5"/>
        <v>79140164.74807668</v>
      </c>
      <c r="F73" s="278">
        <f t="shared" si="5"/>
        <v>80133202.58685876</v>
      </c>
      <c r="G73" s="278">
        <f t="shared" si="5"/>
        <v>80945956.60413161</v>
      </c>
      <c r="H73" s="278">
        <f t="shared" si="5"/>
        <v>80504741.87475495</v>
      </c>
      <c r="I73" s="278">
        <f t="shared" si="5"/>
        <v>83256506.90368044</v>
      </c>
      <c r="J73" s="278">
        <f t="shared" si="5"/>
        <v>84866464.91184545</v>
      </c>
      <c r="K73" s="278">
        <f t="shared" si="5"/>
        <v>81326263.22974466</v>
      </c>
      <c r="L73" s="278">
        <f t="shared" si="5"/>
        <v>83521443.73288177</v>
      </c>
      <c r="M73" s="278">
        <f t="shared" si="5"/>
        <v>78827043.45081115</v>
      </c>
      <c r="N73" s="278">
        <f t="shared" si="8"/>
        <v>971568144.2817059</v>
      </c>
      <c r="O73" s="282">
        <f t="shared" si="6"/>
        <v>962865007.9334036</v>
      </c>
      <c r="P73" s="282"/>
    </row>
    <row r="74" spans="1:16" ht="12.75">
      <c r="A74" s="251" t="s">
        <v>55</v>
      </c>
      <c r="B74" s="278">
        <f t="shared" si="5"/>
        <v>164549650.8322093</v>
      </c>
      <c r="C74" s="278">
        <f t="shared" si="5"/>
        <v>148625939.86834183</v>
      </c>
      <c r="D74" s="278">
        <f t="shared" si="5"/>
        <v>163116788.27714258</v>
      </c>
      <c r="E74" s="278">
        <f t="shared" si="5"/>
        <v>159242133.5826621</v>
      </c>
      <c r="F74" s="278">
        <f t="shared" si="5"/>
        <v>164550708.8350919</v>
      </c>
      <c r="G74" s="278">
        <f t="shared" si="5"/>
        <v>159242158.37892583</v>
      </c>
      <c r="H74" s="278">
        <f t="shared" si="5"/>
        <v>164550210.1766981</v>
      </c>
      <c r="I74" s="278">
        <f t="shared" si="5"/>
        <v>164550101.2610387</v>
      </c>
      <c r="J74" s="278">
        <f t="shared" si="5"/>
        <v>90684539.82400037</v>
      </c>
      <c r="K74" s="278">
        <f t="shared" si="5"/>
        <v>30279149.496390678</v>
      </c>
      <c r="L74" s="278">
        <f t="shared" si="5"/>
        <v>38385849.870885044</v>
      </c>
      <c r="M74" s="278">
        <f>+M14*(1+M44)</f>
        <v>39665545.898626</v>
      </c>
      <c r="N74" s="278">
        <f t="shared" si="8"/>
        <v>1487442776.3020127</v>
      </c>
      <c r="O74" s="282">
        <f t="shared" si="6"/>
        <v>1474118525.8429527</v>
      </c>
      <c r="P74" s="282"/>
    </row>
    <row r="75" spans="1:16" ht="12.75">
      <c r="A75" s="251" t="s">
        <v>52</v>
      </c>
      <c r="B75" s="278">
        <f t="shared" si="5"/>
        <v>21475832.67692906</v>
      </c>
      <c r="C75" s="278">
        <f t="shared" si="5"/>
        <v>20281118.11375948</v>
      </c>
      <c r="D75" s="278">
        <f t="shared" si="5"/>
        <v>20403610.65374615</v>
      </c>
      <c r="E75" s="278">
        <f t="shared" si="5"/>
        <v>16537292.0723082</v>
      </c>
      <c r="F75" s="278">
        <f t="shared" si="5"/>
        <v>14769718.301580284</v>
      </c>
      <c r="G75" s="278">
        <f t="shared" si="5"/>
        <v>13231117.706915995</v>
      </c>
      <c r="H75" s="278">
        <f t="shared" si="5"/>
        <v>14094391.079875406</v>
      </c>
      <c r="I75" s="278">
        <f t="shared" si="5"/>
        <v>14141020.556666037</v>
      </c>
      <c r="J75" s="278">
        <f>+J15*(1+J45)</f>
        <v>13720328.290562779</v>
      </c>
      <c r="K75" s="278">
        <f>+K15*(1+K45)</f>
        <v>15890612.964929536</v>
      </c>
      <c r="L75" s="278">
        <f t="shared" si="5"/>
        <v>17477479.115374118</v>
      </c>
      <c r="M75" s="278">
        <f t="shared" si="5"/>
        <v>21003888.552601233</v>
      </c>
      <c r="N75" s="278">
        <f t="shared" si="8"/>
        <v>203026410.0852483</v>
      </c>
      <c r="O75" s="282">
        <f t="shared" si="6"/>
        <v>201207735.25561544</v>
      </c>
      <c r="P75" s="282"/>
    </row>
    <row r="76" spans="1:16" ht="12.75">
      <c r="A76" s="251" t="s">
        <v>53</v>
      </c>
      <c r="B76" s="280">
        <f t="shared" si="5"/>
        <v>10115418.681976238</v>
      </c>
      <c r="C76" s="280">
        <f t="shared" si="5"/>
        <v>10192486.03020639</v>
      </c>
      <c r="D76" s="280">
        <f t="shared" si="5"/>
        <v>11310639.307598399</v>
      </c>
      <c r="E76" s="280">
        <f t="shared" si="5"/>
        <v>10263149.218812415</v>
      </c>
      <c r="F76" s="280">
        <f t="shared" si="5"/>
        <v>10951528.893149054</v>
      </c>
      <c r="G76" s="280">
        <f t="shared" si="5"/>
        <v>9602245.732347975</v>
      </c>
      <c r="H76" s="280">
        <f t="shared" si="5"/>
        <v>10082489.748191329</v>
      </c>
      <c r="I76" s="280">
        <f t="shared" si="5"/>
        <v>10488827.348959457</v>
      </c>
      <c r="J76" s="280">
        <f t="shared" si="5"/>
        <v>10623344.935320212</v>
      </c>
      <c r="K76" s="280">
        <f t="shared" si="5"/>
        <v>10108132.03331586</v>
      </c>
      <c r="L76" s="280">
        <f t="shared" si="5"/>
        <v>11007025.496141987</v>
      </c>
      <c r="M76" s="280">
        <f t="shared" si="5"/>
        <v>11594478.604425196</v>
      </c>
      <c r="N76" s="278">
        <f t="shared" si="8"/>
        <v>126339766.03044452</v>
      </c>
      <c r="O76" s="282">
        <f t="shared" si="6"/>
        <v>125208036.65412942</v>
      </c>
      <c r="P76" s="282"/>
    </row>
    <row r="77" spans="1:16" ht="12.75">
      <c r="A77" s="251" t="s">
        <v>44</v>
      </c>
      <c r="B77" s="282">
        <f aca="true" t="shared" si="9" ref="B77:M77">SUM(B67:B76)</f>
        <v>1248837394.5997057</v>
      </c>
      <c r="C77" s="282">
        <f t="shared" si="9"/>
        <v>1154709719.9767885</v>
      </c>
      <c r="D77" s="282">
        <f t="shared" si="9"/>
        <v>1167042524.0159872</v>
      </c>
      <c r="E77" s="282">
        <f t="shared" si="9"/>
        <v>989514615.5642062</v>
      </c>
      <c r="F77" s="282">
        <f t="shared" si="9"/>
        <v>949396586.4830151</v>
      </c>
      <c r="G77" s="282">
        <f t="shared" si="9"/>
        <v>873266032.1305537</v>
      </c>
      <c r="H77" s="282">
        <f t="shared" si="9"/>
        <v>889042157.591065</v>
      </c>
      <c r="I77" s="282">
        <f t="shared" si="9"/>
        <v>881530660.3630515</v>
      </c>
      <c r="J77" s="282">
        <f t="shared" si="9"/>
        <v>803637418.27174</v>
      </c>
      <c r="K77" s="282">
        <f t="shared" si="9"/>
        <v>788889267.5460658</v>
      </c>
      <c r="L77" s="282">
        <f t="shared" si="9"/>
        <v>870933691.5343663</v>
      </c>
      <c r="M77" s="282">
        <f t="shared" si="9"/>
        <v>1050981654.1670206</v>
      </c>
      <c r="N77" s="278">
        <f t="shared" si="8"/>
        <v>11667781722.243567</v>
      </c>
      <c r="O77" s="282">
        <f t="shared" si="6"/>
        <v>11563263788.212301</v>
      </c>
      <c r="P77" s="282"/>
    </row>
    <row r="78" spans="14:16" ht="12.75">
      <c r="N78" s="278"/>
      <c r="O78" s="282">
        <f t="shared" si="6"/>
        <v>0</v>
      </c>
      <c r="P78" s="282"/>
    </row>
    <row r="79" spans="1:16" ht="12.75">
      <c r="A79" s="236" t="s">
        <v>96</v>
      </c>
      <c r="N79" s="278"/>
      <c r="O79" s="282">
        <f t="shared" si="6"/>
        <v>0</v>
      </c>
      <c r="P79" s="282"/>
    </row>
    <row r="80" spans="1:16" ht="12.75">
      <c r="A80" s="378" t="s">
        <v>74</v>
      </c>
      <c r="N80" s="278"/>
      <c r="O80" s="282">
        <f t="shared" si="6"/>
        <v>0</v>
      </c>
      <c r="P80" s="282"/>
    </row>
    <row r="81" spans="1:16" ht="12.75">
      <c r="A81" s="378" t="s">
        <v>171</v>
      </c>
      <c r="B81" s="278">
        <f aca="true" t="shared" si="10" ref="B81:M85">+B21*(1+B51)</f>
        <v>15814159.2</v>
      </c>
      <c r="C81" s="278">
        <f t="shared" si="10"/>
        <v>12728469.600000003</v>
      </c>
      <c r="D81" s="278">
        <f t="shared" si="10"/>
        <v>15771302.4</v>
      </c>
      <c r="E81" s="278">
        <f t="shared" si="10"/>
        <v>14785596.000000004</v>
      </c>
      <c r="F81" s="278">
        <f t="shared" si="10"/>
        <v>15814159.2</v>
      </c>
      <c r="G81" s="278">
        <f t="shared" si="10"/>
        <v>14785596.000000004</v>
      </c>
      <c r="H81" s="278">
        <f t="shared" si="10"/>
        <v>15814159.2</v>
      </c>
      <c r="I81" s="278">
        <f t="shared" si="10"/>
        <v>15814159.2</v>
      </c>
      <c r="J81" s="278">
        <f t="shared" si="10"/>
        <v>14785596.000000004</v>
      </c>
      <c r="K81" s="278">
        <f t="shared" si="10"/>
        <v>15814159.2</v>
      </c>
      <c r="L81" s="278">
        <f t="shared" si="10"/>
        <v>14785596.000000004</v>
      </c>
      <c r="M81" s="278">
        <f t="shared" si="10"/>
        <v>15814159.2</v>
      </c>
      <c r="N81" s="278">
        <f>SUM(B81:M81)</f>
        <v>182527111.2</v>
      </c>
      <c r="O81" s="282">
        <f t="shared" si="6"/>
        <v>180892065.47995967</v>
      </c>
      <c r="P81" s="282"/>
    </row>
    <row r="82" spans="1:16" ht="12.75">
      <c r="A82" s="379" t="s">
        <v>172</v>
      </c>
      <c r="B82" s="278">
        <f t="shared" si="10"/>
        <v>0</v>
      </c>
      <c r="C82" s="278">
        <f t="shared" si="10"/>
        <v>0</v>
      </c>
      <c r="D82" s="278">
        <f t="shared" si="10"/>
        <v>0</v>
      </c>
      <c r="E82" s="278">
        <f t="shared" si="10"/>
        <v>0</v>
      </c>
      <c r="F82" s="278">
        <f t="shared" si="10"/>
        <v>0</v>
      </c>
      <c r="G82" s="278">
        <f t="shared" si="10"/>
        <v>0</v>
      </c>
      <c r="H82" s="278">
        <f t="shared" si="10"/>
        <v>0</v>
      </c>
      <c r="I82" s="278">
        <f t="shared" si="10"/>
        <v>0</v>
      </c>
      <c r="J82" s="278">
        <f t="shared" si="10"/>
        <v>0</v>
      </c>
      <c r="K82" s="278">
        <f t="shared" si="10"/>
        <v>0</v>
      </c>
      <c r="L82" s="278">
        <f t="shared" si="10"/>
        <v>0</v>
      </c>
      <c r="M82" s="278">
        <f t="shared" si="10"/>
        <v>0</v>
      </c>
      <c r="N82" s="278">
        <f>SUM(B82:M82)</f>
        <v>0</v>
      </c>
      <c r="O82" s="282">
        <f t="shared" si="6"/>
        <v>0</v>
      </c>
      <c r="P82" s="282"/>
    </row>
    <row r="83" spans="1:16" ht="12.75">
      <c r="A83" s="235" t="s">
        <v>31</v>
      </c>
      <c r="B83" s="278">
        <f t="shared" si="10"/>
        <v>-465074.59338810365</v>
      </c>
      <c r="C83" s="278">
        <f t="shared" si="10"/>
        <v>-217422.5169763898</v>
      </c>
      <c r="D83" s="278">
        <f t="shared" si="10"/>
        <v>-209356.86335421592</v>
      </c>
      <c r="E83" s="278">
        <f t="shared" si="10"/>
        <v>99093.56605127305</v>
      </c>
      <c r="F83" s="278">
        <f t="shared" si="10"/>
        <v>1851627.739790088</v>
      </c>
      <c r="G83" s="278">
        <f t="shared" si="10"/>
        <v>-61358.269859765</v>
      </c>
      <c r="H83" s="278">
        <f t="shared" si="10"/>
        <v>2055259.648384919</v>
      </c>
      <c r="I83" s="278">
        <f t="shared" si="10"/>
        <v>1536274.7220176444</v>
      </c>
      <c r="J83" s="278">
        <f t="shared" si="10"/>
        <v>603769.9504551393</v>
      </c>
      <c r="K83" s="278">
        <f t="shared" si="10"/>
        <v>2802964.656152406</v>
      </c>
      <c r="L83" s="278">
        <f t="shared" si="10"/>
        <v>1340307.2842051797</v>
      </c>
      <c r="M83" s="278">
        <f t="shared" si="10"/>
        <v>205015.3027068408</v>
      </c>
      <c r="N83" s="278">
        <f t="shared" si="8"/>
        <v>9541100.626185017</v>
      </c>
      <c r="O83" s="282">
        <f t="shared" si="6"/>
        <v>9455633.126914596</v>
      </c>
      <c r="P83" s="282"/>
    </row>
    <row r="84" spans="1:16" ht="12.75">
      <c r="A84" s="235" t="s">
        <v>291</v>
      </c>
      <c r="B84" s="278">
        <f t="shared" si="10"/>
        <v>16071300.000000007</v>
      </c>
      <c r="C84" s="278">
        <f t="shared" si="10"/>
        <v>16071300.000000007</v>
      </c>
      <c r="D84" s="278">
        <f t="shared" si="10"/>
        <v>16071300.000000007</v>
      </c>
      <c r="E84" s="278">
        <f t="shared" si="10"/>
        <v>16071300.000000007</v>
      </c>
      <c r="F84" s="278">
        <f t="shared" si="10"/>
        <v>16071300.000000007</v>
      </c>
      <c r="G84" s="278">
        <f t="shared" si="10"/>
        <v>16071300.000000007</v>
      </c>
      <c r="H84" s="278">
        <f t="shared" si="10"/>
        <v>16071300.000000007</v>
      </c>
      <c r="I84" s="278">
        <f t="shared" si="10"/>
        <v>16071300.000000007</v>
      </c>
      <c r="J84" s="278">
        <f t="shared" si="10"/>
        <v>16071300.000000007</v>
      </c>
      <c r="K84" s="278">
        <f t="shared" si="10"/>
        <v>16071300.000000007</v>
      </c>
      <c r="L84" s="278">
        <f t="shared" si="10"/>
        <v>16071300.000000007</v>
      </c>
      <c r="M84" s="278">
        <f t="shared" si="10"/>
        <v>16071300.000000007</v>
      </c>
      <c r="N84" s="278">
        <f t="shared" si="8"/>
        <v>192855600.00000003</v>
      </c>
      <c r="O84" s="282">
        <f t="shared" si="6"/>
        <v>191128033.49608326</v>
      </c>
      <c r="P84" s="282"/>
    </row>
    <row r="85" spans="1:16" ht="12.75">
      <c r="A85" s="380" t="s">
        <v>140</v>
      </c>
      <c r="B85" s="280">
        <f t="shared" si="10"/>
        <v>-1567168</v>
      </c>
      <c r="C85" s="280">
        <f t="shared" si="10"/>
        <v>4854744</v>
      </c>
      <c r="D85" s="280">
        <f t="shared" si="10"/>
        <v>9607607</v>
      </c>
      <c r="E85" s="280">
        <f t="shared" si="10"/>
        <v>13092491</v>
      </c>
      <c r="F85" s="280">
        <f t="shared" si="10"/>
        <v>17115020</v>
      </c>
      <c r="G85" s="280">
        <f t="shared" si="10"/>
        <v>463755</v>
      </c>
      <c r="H85" s="280">
        <f t="shared" si="10"/>
        <v>17657977</v>
      </c>
      <c r="I85" s="280">
        <f t="shared" si="10"/>
        <v>2305537</v>
      </c>
      <c r="J85" s="280">
        <f t="shared" si="10"/>
        <v>-3013726</v>
      </c>
      <c r="K85" s="280">
        <f t="shared" si="10"/>
        <v>-3944733</v>
      </c>
      <c r="L85" s="280">
        <f t="shared" si="10"/>
        <v>0</v>
      </c>
      <c r="M85" s="280">
        <f t="shared" si="10"/>
        <v>0</v>
      </c>
      <c r="N85" s="280">
        <f t="shared" si="8"/>
        <v>56571504</v>
      </c>
      <c r="O85" s="282">
        <f t="shared" si="6"/>
        <v>56064746.429120064</v>
      </c>
      <c r="P85" s="282"/>
    </row>
    <row r="86" spans="1:16" ht="12.75">
      <c r="A86" s="235" t="s">
        <v>44</v>
      </c>
      <c r="B86" s="278">
        <f>SUM(B81:B85)</f>
        <v>29853216.606611904</v>
      </c>
      <c r="C86" s="278">
        <f aca="true" t="shared" si="11" ref="C86:L86">SUM(C81:C85)</f>
        <v>33437091.083023623</v>
      </c>
      <c r="D86" s="278">
        <f t="shared" si="11"/>
        <v>41240852.53664579</v>
      </c>
      <c r="E86" s="278">
        <f t="shared" si="11"/>
        <v>44048480.56605128</v>
      </c>
      <c r="F86" s="278">
        <f t="shared" si="11"/>
        <v>50852106.9397901</v>
      </c>
      <c r="G86" s="278">
        <f t="shared" si="11"/>
        <v>31259292.730140246</v>
      </c>
      <c r="H86" s="278">
        <f t="shared" si="11"/>
        <v>51598695.848384924</v>
      </c>
      <c r="I86" s="278">
        <f t="shared" si="11"/>
        <v>35727270.92201765</v>
      </c>
      <c r="J86" s="278">
        <f t="shared" si="11"/>
        <v>28446939.95045515</v>
      </c>
      <c r="K86" s="278">
        <f t="shared" si="11"/>
        <v>30743690.856152415</v>
      </c>
      <c r="L86" s="278">
        <f t="shared" si="11"/>
        <v>32197203.28420519</v>
      </c>
      <c r="M86" s="278">
        <f>SUM(M81:M85)</f>
        <v>32090474.502706848</v>
      </c>
      <c r="N86" s="278">
        <f t="shared" si="8"/>
        <v>441495315.82618505</v>
      </c>
      <c r="O86" s="282">
        <f t="shared" si="6"/>
        <v>437540478.5320776</v>
      </c>
      <c r="P86" s="282"/>
    </row>
    <row r="87" spans="1:16" ht="12.75">
      <c r="A87" s="235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82">
        <f t="shared" si="6"/>
        <v>0</v>
      </c>
      <c r="P87" s="282"/>
    </row>
    <row r="88" spans="1:16" ht="12.75">
      <c r="A88" s="236" t="s">
        <v>142</v>
      </c>
      <c r="B88" s="278">
        <f aca="true" t="shared" si="12" ref="B88:L88">+B77+B86</f>
        <v>1278690611.2063177</v>
      </c>
      <c r="C88" s="278">
        <f t="shared" si="12"/>
        <v>1188146811.059812</v>
      </c>
      <c r="D88" s="278">
        <f t="shared" si="12"/>
        <v>1208283376.552633</v>
      </c>
      <c r="E88" s="278">
        <f t="shared" si="12"/>
        <v>1033563096.1302575</v>
      </c>
      <c r="F88" s="278">
        <f>+F77+F86</f>
        <v>1000248693.4228052</v>
      </c>
      <c r="G88" s="278">
        <f t="shared" si="12"/>
        <v>904525324.8606939</v>
      </c>
      <c r="H88" s="278">
        <f t="shared" si="12"/>
        <v>940640853.43945</v>
      </c>
      <c r="I88" s="278">
        <f>+I77+I86</f>
        <v>917257931.2850692</v>
      </c>
      <c r="J88" s="278">
        <f t="shared" si="12"/>
        <v>832084358.2221951</v>
      </c>
      <c r="K88" s="278">
        <f t="shared" si="12"/>
        <v>819632958.4022182</v>
      </c>
      <c r="L88" s="278">
        <f t="shared" si="12"/>
        <v>903130894.8185714</v>
      </c>
      <c r="M88" s="278">
        <f>+M77+M86</f>
        <v>1083072128.6697273</v>
      </c>
      <c r="N88" s="278">
        <f>SUM(B88:M88)</f>
        <v>12109277038.06975</v>
      </c>
      <c r="O88" s="282">
        <f t="shared" si="6"/>
        <v>12000804266.744377</v>
      </c>
      <c r="P88" s="282"/>
    </row>
    <row r="89" spans="1:16" ht="12.75">
      <c r="A89" s="235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82"/>
      <c r="P89" s="282"/>
    </row>
    <row r="90" spans="1:16" ht="12.75">
      <c r="A90" s="236" t="s">
        <v>97</v>
      </c>
      <c r="B90" s="278">
        <f>'Data Inputs - 2011'!C50</f>
        <v>208000</v>
      </c>
      <c r="C90" s="278">
        <f>'Data Inputs - 2011'!D50</f>
        <v>62000</v>
      </c>
      <c r="D90" s="278">
        <f>'Data Inputs - 2011'!E50</f>
        <v>361000</v>
      </c>
      <c r="E90" s="278">
        <f>'Data Inputs - 2011'!F50</f>
        <v>52000</v>
      </c>
      <c r="F90" s="278">
        <f>'Data Inputs - 2011'!G50</f>
        <v>180000</v>
      </c>
      <c r="G90" s="278">
        <f>'Data Inputs - 2011'!H50</f>
        <v>0</v>
      </c>
      <c r="H90" s="278">
        <f>'Data Inputs - 2011'!I50</f>
        <v>1102000</v>
      </c>
      <c r="I90" s="278">
        <f>'Data Inputs - 2011'!J50</f>
        <v>1263000</v>
      </c>
      <c r="J90" s="278">
        <f>'Data Inputs - 2011'!K50</f>
        <v>285000</v>
      </c>
      <c r="K90" s="278">
        <f>'Data Inputs - 2011'!L50</f>
        <v>996000</v>
      </c>
      <c r="L90" s="278">
        <f>'Data Inputs - 2011'!M50</f>
        <v>21981000</v>
      </c>
      <c r="M90" s="278">
        <f>'Data Inputs - 2011'!N50</f>
        <v>-4000</v>
      </c>
      <c r="N90" s="278">
        <f>SUM(B90:M90)</f>
        <v>26486000</v>
      </c>
      <c r="O90" s="282"/>
      <c r="P90" s="282"/>
    </row>
    <row r="91" spans="2:16" ht="12.75"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</row>
    <row r="92" spans="1:16" ht="12.75">
      <c r="A92" s="229" t="s">
        <v>292</v>
      </c>
      <c r="B92" s="282">
        <f>B88+B90</f>
        <v>1278898611.2063177</v>
      </c>
      <c r="C92" s="282">
        <f aca="true" t="shared" si="13" ref="C92:M92">C88+C90</f>
        <v>1188208811.059812</v>
      </c>
      <c r="D92" s="282">
        <f t="shared" si="13"/>
        <v>1208644376.552633</v>
      </c>
      <c r="E92" s="282">
        <f t="shared" si="13"/>
        <v>1033615096.1302575</v>
      </c>
      <c r="F92" s="282">
        <f t="shared" si="13"/>
        <v>1000428693.4228052</v>
      </c>
      <c r="G92" s="282">
        <f t="shared" si="13"/>
        <v>904525324.8606939</v>
      </c>
      <c r="H92" s="282">
        <f t="shared" si="13"/>
        <v>941742853.43945</v>
      </c>
      <c r="I92" s="282">
        <f>I88+I90</f>
        <v>918520931.2850692</v>
      </c>
      <c r="J92" s="282">
        <f t="shared" si="13"/>
        <v>832369358.2221951</v>
      </c>
      <c r="K92" s="282">
        <f t="shared" si="13"/>
        <v>820628958.4022182</v>
      </c>
      <c r="L92" s="282">
        <f t="shared" si="13"/>
        <v>925111894.8185714</v>
      </c>
      <c r="M92" s="282">
        <f t="shared" si="13"/>
        <v>1083068128.6697273</v>
      </c>
      <c r="N92" s="278">
        <f>SUM(B92:M92)</f>
        <v>12135763038.06975</v>
      </c>
      <c r="O92" s="282"/>
      <c r="P92" s="282"/>
    </row>
    <row r="93" ht="12.75">
      <c r="A93" s="235"/>
    </row>
    <row r="94" ht="12.75">
      <c r="A94" s="235"/>
    </row>
    <row r="95" ht="31.5">
      <c r="A95" s="295" t="s">
        <v>301</v>
      </c>
    </row>
    <row r="96" ht="15.75">
      <c r="A96" s="295" t="s">
        <v>98</v>
      </c>
    </row>
    <row r="97" spans="1:18" ht="12.75">
      <c r="A97" s="251" t="s">
        <v>93</v>
      </c>
      <c r="B97" s="278">
        <f>B65*B$130</f>
        <v>538970888.8018786</v>
      </c>
      <c r="C97" s="278">
        <f aca="true" t="shared" si="14" ref="C97:M97">C65*C$130</f>
        <v>488620605.13367224</v>
      </c>
      <c r="D97" s="278">
        <f t="shared" si="14"/>
        <v>471704408.0167386</v>
      </c>
      <c r="E97" s="278">
        <f t="shared" si="14"/>
        <v>373952063.12980974</v>
      </c>
      <c r="F97" s="278">
        <f t="shared" si="14"/>
        <v>333576924.39964753</v>
      </c>
      <c r="G97" s="278">
        <f t="shared" si="14"/>
        <v>279960382.02072644</v>
      </c>
      <c r="H97" s="278">
        <f t="shared" si="14"/>
        <v>276830243.2719429</v>
      </c>
      <c r="I97" s="278">
        <f t="shared" si="14"/>
        <v>280894738.2293899</v>
      </c>
      <c r="J97" s="278">
        <f t="shared" si="14"/>
        <v>275081247.52253896</v>
      </c>
      <c r="K97" s="278">
        <f t="shared" si="14"/>
        <v>317591639.0309315</v>
      </c>
      <c r="L97" s="278">
        <f t="shared" si="14"/>
        <v>366865662.29438853</v>
      </c>
      <c r="M97" s="278">
        <f t="shared" si="14"/>
        <v>491540416.3088087</v>
      </c>
      <c r="N97" s="278">
        <f>SUM(B97:M97)</f>
        <v>4495589218.160474</v>
      </c>
      <c r="O97" s="282"/>
      <c r="P97" s="282"/>
      <c r="R97" s="296"/>
    </row>
    <row r="98" spans="1:16" ht="12.75">
      <c r="A98" s="251" t="s">
        <v>94</v>
      </c>
      <c r="B98" s="278">
        <f>B66*B$130</f>
        <v>27389753.237601265</v>
      </c>
      <c r="C98" s="278">
        <f aca="true" t="shared" si="15" ref="C98:M98">C66*C$130</f>
        <v>26138724.57568713</v>
      </c>
      <c r="D98" s="278">
        <f t="shared" si="15"/>
        <v>25952858.382499397</v>
      </c>
      <c r="E98" s="278">
        <f t="shared" si="15"/>
        <v>21073119.504729845</v>
      </c>
      <c r="F98" s="278">
        <f t="shared" si="15"/>
        <v>14153296.04320774</v>
      </c>
      <c r="G98" s="278">
        <f t="shared" si="15"/>
        <v>9723364.257723838</v>
      </c>
      <c r="H98" s="278">
        <f t="shared" si="15"/>
        <v>7826626.449049457</v>
      </c>
      <c r="I98" s="278">
        <f t="shared" si="15"/>
        <v>8207766.353765696</v>
      </c>
      <c r="J98" s="278">
        <f t="shared" si="15"/>
        <v>8888198.05829753</v>
      </c>
      <c r="K98" s="278">
        <f t="shared" si="15"/>
        <v>12611420.81531982</v>
      </c>
      <c r="L98" s="278">
        <f t="shared" si="15"/>
        <v>19160455.10629521</v>
      </c>
      <c r="M98" s="278">
        <f t="shared" si="15"/>
        <v>33740975.89112332</v>
      </c>
      <c r="N98" s="280">
        <f aca="true" t="shared" si="16" ref="N98:N109">SUM(B98:M98)</f>
        <v>214866558.6753002</v>
      </c>
      <c r="O98" s="282"/>
      <c r="P98" s="282"/>
    </row>
    <row r="99" spans="1:16" ht="12.75">
      <c r="A99" s="251" t="s">
        <v>95</v>
      </c>
      <c r="B99" s="278">
        <f>SUM(B97:B98)</f>
        <v>566360642.0394799</v>
      </c>
      <c r="C99" s="278">
        <f aca="true" t="shared" si="17" ref="C99:M99">SUM(C97:C98)</f>
        <v>514759329.70935935</v>
      </c>
      <c r="D99" s="278">
        <f t="shared" si="17"/>
        <v>497657266.399238</v>
      </c>
      <c r="E99" s="278">
        <f t="shared" si="17"/>
        <v>395025182.6345396</v>
      </c>
      <c r="F99" s="278">
        <f t="shared" si="17"/>
        <v>347730220.4428553</v>
      </c>
      <c r="G99" s="278">
        <f t="shared" si="17"/>
        <v>289683746.27845025</v>
      </c>
      <c r="H99" s="278">
        <f t="shared" si="17"/>
        <v>284656869.7209924</v>
      </c>
      <c r="I99" s="278">
        <f t="shared" si="17"/>
        <v>289102504.58315563</v>
      </c>
      <c r="J99" s="278">
        <f t="shared" si="17"/>
        <v>283969445.5808365</v>
      </c>
      <c r="K99" s="278">
        <f t="shared" si="17"/>
        <v>330203059.8462513</v>
      </c>
      <c r="L99" s="278">
        <f t="shared" si="17"/>
        <v>386026117.40068376</v>
      </c>
      <c r="M99" s="278">
        <f t="shared" si="17"/>
        <v>525281392.199932</v>
      </c>
      <c r="N99" s="278">
        <f t="shared" si="16"/>
        <v>4710455776.835774</v>
      </c>
      <c r="O99" s="282"/>
      <c r="P99" s="282"/>
    </row>
    <row r="100" spans="1:16" ht="12.75">
      <c r="A100" s="251" t="s">
        <v>46</v>
      </c>
      <c r="B100" s="278">
        <f aca="true" t="shared" si="18" ref="B100:B108">B68*B$130</f>
        <v>27230783.306075584</v>
      </c>
      <c r="C100" s="278">
        <f aca="true" t="shared" si="19" ref="C100:M100">C68*C$130</f>
        <v>26039189.515406772</v>
      </c>
      <c r="D100" s="278">
        <f t="shared" si="19"/>
        <v>26914895.500747036</v>
      </c>
      <c r="E100" s="278">
        <f t="shared" si="19"/>
        <v>21505185.888758436</v>
      </c>
      <c r="F100" s="278">
        <f t="shared" si="19"/>
        <v>20675853.885964274</v>
      </c>
      <c r="G100" s="278">
        <f t="shared" si="19"/>
        <v>17979317.846707072</v>
      </c>
      <c r="H100" s="278">
        <f t="shared" si="19"/>
        <v>18920385.573131077</v>
      </c>
      <c r="I100" s="278">
        <f t="shared" si="19"/>
        <v>19222178.995015737</v>
      </c>
      <c r="J100" s="278">
        <f t="shared" si="19"/>
        <v>18890782.3932166</v>
      </c>
      <c r="K100" s="278">
        <f t="shared" si="19"/>
        <v>19894819.951844856</v>
      </c>
      <c r="L100" s="278">
        <f t="shared" si="19"/>
        <v>19451265.716518544</v>
      </c>
      <c r="M100" s="278">
        <f t="shared" si="19"/>
        <v>24513960.218824748</v>
      </c>
      <c r="N100" s="278">
        <f t="shared" si="16"/>
        <v>261238618.7922108</v>
      </c>
      <c r="O100" s="282"/>
      <c r="P100" s="282"/>
    </row>
    <row r="101" spans="1:16" ht="12.75">
      <c r="A101" s="251" t="s">
        <v>47</v>
      </c>
      <c r="B101" s="278">
        <f t="shared" si="18"/>
        <v>252292735.8794882</v>
      </c>
      <c r="C101" s="278">
        <f aca="true" t="shared" si="20" ref="C101:M101">C69*C$130</f>
        <v>238946172.29150292</v>
      </c>
      <c r="D101" s="278">
        <f t="shared" si="20"/>
        <v>239821247.6104628</v>
      </c>
      <c r="E101" s="278">
        <f t="shared" si="20"/>
        <v>205282789.4874388</v>
      </c>
      <c r="F101" s="278">
        <f t="shared" si="20"/>
        <v>194825008.53237647</v>
      </c>
      <c r="G101" s="278">
        <f t="shared" si="20"/>
        <v>197089584.51141348</v>
      </c>
      <c r="H101" s="278">
        <f>H69*H$130</f>
        <v>207404814.4516785</v>
      </c>
      <c r="I101" s="278">
        <f t="shared" si="20"/>
        <v>204754754.8806366</v>
      </c>
      <c r="J101" s="278">
        <f t="shared" si="20"/>
        <v>191020062.04429936</v>
      </c>
      <c r="K101" s="278">
        <f t="shared" si="20"/>
        <v>214063248.2135294</v>
      </c>
      <c r="L101" s="278">
        <f t="shared" si="20"/>
        <v>213858196.50295773</v>
      </c>
      <c r="M101" s="278">
        <f t="shared" si="20"/>
        <v>244811193.50415355</v>
      </c>
      <c r="N101" s="278">
        <f t="shared" si="16"/>
        <v>2604169807.9099383</v>
      </c>
      <c r="O101" s="282"/>
      <c r="P101" s="282"/>
    </row>
    <row r="102" spans="1:16" ht="12.75">
      <c r="A102" s="251" t="s">
        <v>48</v>
      </c>
      <c r="B102" s="278">
        <f t="shared" si="18"/>
        <v>36778053.38350747</v>
      </c>
      <c r="C102" s="278">
        <f aca="true" t="shared" si="21" ref="C102:M102">C70*C$130</f>
        <v>32209325.541297268</v>
      </c>
      <c r="D102" s="278">
        <f t="shared" si="21"/>
        <v>39069694.34686006</v>
      </c>
      <c r="E102" s="278">
        <f t="shared" si="21"/>
        <v>34406857.416544765</v>
      </c>
      <c r="F102" s="278">
        <f t="shared" si="21"/>
        <v>34213286.47837107</v>
      </c>
      <c r="G102" s="278">
        <f t="shared" si="21"/>
        <v>34462272.2591663</v>
      </c>
      <c r="H102" s="278">
        <f t="shared" si="21"/>
        <v>40297450.87544607</v>
      </c>
      <c r="I102" s="278">
        <f t="shared" si="21"/>
        <v>41681869.30575296</v>
      </c>
      <c r="J102" s="278">
        <f t="shared" si="21"/>
        <v>37524849.89901759</v>
      </c>
      <c r="K102" s="278">
        <f t="shared" si="21"/>
        <v>38146206.31823133</v>
      </c>
      <c r="L102" s="278">
        <f t="shared" si="21"/>
        <v>35541773.303656496</v>
      </c>
      <c r="M102" s="278">
        <f t="shared" si="21"/>
        <v>35512799.510350145</v>
      </c>
      <c r="N102" s="278">
        <f t="shared" si="16"/>
        <v>439844438.6382016</v>
      </c>
      <c r="O102" s="282"/>
      <c r="P102" s="282"/>
    </row>
    <row r="103" spans="1:16" ht="12.75">
      <c r="A103" s="251" t="s">
        <v>49</v>
      </c>
      <c r="B103" s="278">
        <f t="shared" si="18"/>
        <v>24855346.783480335</v>
      </c>
      <c r="C103" s="278">
        <f aca="true" t="shared" si="22" ref="C103:M103">C71*C$130</f>
        <v>23056394.12973734</v>
      </c>
      <c r="D103" s="278">
        <f t="shared" si="22"/>
        <v>24840674.12136239</v>
      </c>
      <c r="E103" s="278">
        <f t="shared" si="22"/>
        <v>21366988.82541852</v>
      </c>
      <c r="F103" s="278">
        <f t="shared" si="22"/>
        <v>21299815.0343853</v>
      </c>
      <c r="G103" s="278">
        <f t="shared" si="22"/>
        <v>21166762.216035873</v>
      </c>
      <c r="H103" s="278">
        <f t="shared" si="22"/>
        <v>24453604.97255315</v>
      </c>
      <c r="I103" s="278">
        <f t="shared" si="22"/>
        <v>20376407.022519622</v>
      </c>
      <c r="J103" s="278">
        <f t="shared" si="22"/>
        <v>22338577.319644064</v>
      </c>
      <c r="K103" s="278">
        <f t="shared" si="22"/>
        <v>18060949.07058493</v>
      </c>
      <c r="L103" s="278">
        <f t="shared" si="22"/>
        <v>22172958.970610734</v>
      </c>
      <c r="M103" s="278">
        <f t="shared" si="22"/>
        <v>25650528.87759473</v>
      </c>
      <c r="N103" s="278">
        <f t="shared" si="16"/>
        <v>269639007.34392697</v>
      </c>
      <c r="O103" s="282"/>
      <c r="P103" s="282"/>
    </row>
    <row r="104" spans="1:16" ht="12.75">
      <c r="A104" s="251" t="s">
        <v>50</v>
      </c>
      <c r="B104" s="278">
        <f t="shared" si="18"/>
        <v>38654141.777555406</v>
      </c>
      <c r="C104" s="278">
        <f aca="true" t="shared" si="23" ref="C104:M104">C72*C$130</f>
        <v>40079663.51025718</v>
      </c>
      <c r="D104" s="278">
        <f t="shared" si="23"/>
        <v>45043962.75409679</v>
      </c>
      <c r="E104" s="278">
        <f t="shared" si="23"/>
        <v>44435337.261840075</v>
      </c>
      <c r="F104" s="278">
        <f t="shared" si="23"/>
        <v>38951986.70190153</v>
      </c>
      <c r="G104" s="278">
        <f t="shared" si="23"/>
        <v>43188401.6681647</v>
      </c>
      <c r="H104" s="278">
        <f t="shared" si="23"/>
        <v>43658921.46464177</v>
      </c>
      <c r="I104" s="278">
        <f t="shared" si="23"/>
        <v>42968866.062341645</v>
      </c>
      <c r="J104" s="278">
        <f t="shared" si="23"/>
        <v>44952811.98314944</v>
      </c>
      <c r="K104" s="278">
        <f t="shared" si="23"/>
        <v>45275834.59758379</v>
      </c>
      <c r="L104" s="278">
        <f t="shared" si="23"/>
        <v>43805639.38997926</v>
      </c>
      <c r="M104" s="278">
        <f t="shared" si="23"/>
        <v>44516129.38859921</v>
      </c>
      <c r="N104" s="278">
        <f t="shared" si="16"/>
        <v>515531696.56011075</v>
      </c>
      <c r="O104" s="282"/>
      <c r="P104" s="282"/>
    </row>
    <row r="105" spans="1:16" ht="12.75">
      <c r="A105" s="251" t="s">
        <v>51</v>
      </c>
      <c r="B105" s="278">
        <f t="shared" si="18"/>
        <v>79205141.15509556</v>
      </c>
      <c r="C105" s="278">
        <f aca="true" t="shared" si="24" ref="C105:M105">C73*C$130</f>
        <v>74382075.91236189</v>
      </c>
      <c r="D105" s="278">
        <f t="shared" si="24"/>
        <v>79698475.37369299</v>
      </c>
      <c r="E105" s="278">
        <f t="shared" si="24"/>
        <v>78887826.087887</v>
      </c>
      <c r="F105" s="278">
        <f t="shared" si="24"/>
        <v>77619979.2139317</v>
      </c>
      <c r="G105" s="278">
        <f t="shared" si="24"/>
        <v>80060620.9318305</v>
      </c>
      <c r="H105" s="278">
        <f t="shared" si="24"/>
        <v>80450413.42433642</v>
      </c>
      <c r="I105" s="278">
        <f t="shared" si="24"/>
        <v>84488400.07508902</v>
      </c>
      <c r="J105" s="278">
        <f t="shared" si="24"/>
        <v>84157132.82749704</v>
      </c>
      <c r="K105" s="278">
        <f t="shared" si="24"/>
        <v>83119279.00894289</v>
      </c>
      <c r="L105" s="278">
        <f t="shared" si="24"/>
        <v>83557847.68790898</v>
      </c>
      <c r="M105" s="278">
        <f t="shared" si="24"/>
        <v>78861670.77431336</v>
      </c>
      <c r="N105" s="278">
        <f t="shared" si="16"/>
        <v>964488862.4728872</v>
      </c>
      <c r="O105" s="282"/>
      <c r="P105" s="282"/>
    </row>
    <row r="106" spans="1:16" ht="12.75">
      <c r="A106" s="251" t="s">
        <v>55</v>
      </c>
      <c r="B106" s="278">
        <f t="shared" si="18"/>
        <v>160279247.55312136</v>
      </c>
      <c r="C106" s="278">
        <f aca="true" t="shared" si="25" ref="C106:M106">C74*C$130</f>
        <v>144644033.28277016</v>
      </c>
      <c r="D106" s="278">
        <f t="shared" si="25"/>
        <v>159901256.18259495</v>
      </c>
      <c r="E106" s="278">
        <f t="shared" si="25"/>
        <v>158734389.54697672</v>
      </c>
      <c r="F106" s="278">
        <f t="shared" si="25"/>
        <v>159389893.16660783</v>
      </c>
      <c r="G106" s="278">
        <f t="shared" si="25"/>
        <v>157500468.37658802</v>
      </c>
      <c r="H106" s="278">
        <f t="shared" si="25"/>
        <v>164439163.8243124</v>
      </c>
      <c r="I106" s="278">
        <f t="shared" si="25"/>
        <v>166984843.64498925</v>
      </c>
      <c r="J106" s="278">
        <f t="shared" si="25"/>
        <v>89926579.023838</v>
      </c>
      <c r="K106" s="278">
        <f t="shared" si="25"/>
        <v>30946719.733502887</v>
      </c>
      <c r="L106" s="278">
        <f t="shared" si="25"/>
        <v>38402580.86462661</v>
      </c>
      <c r="M106" s="278">
        <f t="shared" si="25"/>
        <v>39682970.27013095</v>
      </c>
      <c r="N106" s="278">
        <f t="shared" si="16"/>
        <v>1470832145.4700592</v>
      </c>
      <c r="O106" s="282"/>
      <c r="P106" s="282"/>
    </row>
    <row r="107" spans="1:16" ht="12.75">
      <c r="A107" s="251" t="s">
        <v>52</v>
      </c>
      <c r="B107" s="278">
        <f t="shared" si="18"/>
        <v>20918490.465500012</v>
      </c>
      <c r="C107" s="278">
        <f aca="true" t="shared" si="26" ref="C107:M107">C75*C$130</f>
        <v>19737757.25863908</v>
      </c>
      <c r="D107" s="278">
        <f t="shared" si="26"/>
        <v>20001392.92009201</v>
      </c>
      <c r="E107" s="278">
        <f t="shared" si="26"/>
        <v>16484562.865362834</v>
      </c>
      <c r="F107" s="278">
        <f t="shared" si="26"/>
        <v>14306494.568486063</v>
      </c>
      <c r="G107" s="278">
        <f t="shared" si="26"/>
        <v>13086404.110563861</v>
      </c>
      <c r="H107" s="278">
        <f t="shared" si="26"/>
        <v>14084879.510629538</v>
      </c>
      <c r="I107" s="278">
        <f t="shared" si="26"/>
        <v>14350256.17449779</v>
      </c>
      <c r="J107" s="278">
        <f t="shared" si="26"/>
        <v>13605650.84907398</v>
      </c>
      <c r="K107" s="278">
        <f>K75*K$130</f>
        <v>16240956.367610672</v>
      </c>
      <c r="L107" s="278">
        <f t="shared" si="26"/>
        <v>17485096.911897607</v>
      </c>
      <c r="M107" s="278">
        <f t="shared" si="26"/>
        <v>21013115.188687988</v>
      </c>
      <c r="N107" s="278">
        <f t="shared" si="16"/>
        <v>201315057.1910414</v>
      </c>
      <c r="O107" s="282"/>
      <c r="P107" s="282"/>
    </row>
    <row r="108" spans="1:16" ht="12.75">
      <c r="A108" s="251" t="s">
        <v>53</v>
      </c>
      <c r="B108" s="278">
        <f t="shared" si="18"/>
        <v>9852902.676075343</v>
      </c>
      <c r="C108" s="278">
        <f aca="true" t="shared" si="27" ref="C108:M108">C76*C$130</f>
        <v>9919414.402985878</v>
      </c>
      <c r="D108" s="278">
        <f t="shared" si="27"/>
        <v>11087671.922772007</v>
      </c>
      <c r="E108" s="278">
        <f t="shared" si="27"/>
        <v>10230425.135770058</v>
      </c>
      <c r="F108" s="278">
        <f t="shared" si="27"/>
        <v>10608055.307980478</v>
      </c>
      <c r="G108" s="278">
        <f t="shared" si="27"/>
        <v>9497222.442270322</v>
      </c>
      <c r="H108" s="278">
        <f t="shared" si="27"/>
        <v>10075685.601856295</v>
      </c>
      <c r="I108" s="278">
        <f t="shared" si="27"/>
        <v>10644023.804681713</v>
      </c>
      <c r="J108" s="278">
        <f t="shared" si="27"/>
        <v>10534552.743804397</v>
      </c>
      <c r="K108" s="278">
        <f t="shared" si="27"/>
        <v>10330987.965879174</v>
      </c>
      <c r="L108" s="278">
        <f t="shared" si="27"/>
        <v>11011823.057621246</v>
      </c>
      <c r="M108" s="278">
        <f t="shared" si="27"/>
        <v>11599571.853441004</v>
      </c>
      <c r="N108" s="280">
        <f t="shared" si="16"/>
        <v>125392336.91513792</v>
      </c>
      <c r="O108" s="282"/>
      <c r="P108" s="282"/>
    </row>
    <row r="109" spans="1:16" ht="12.75">
      <c r="A109" s="251" t="s">
        <v>44</v>
      </c>
      <c r="B109" s="282">
        <f>SUM(B99:B108)</f>
        <v>1216427485.0193794</v>
      </c>
      <c r="C109" s="282">
        <f aca="true" t="shared" si="28" ref="C109:M109">SUM(C99:C108)</f>
        <v>1123773355.554318</v>
      </c>
      <c r="D109" s="282">
        <f t="shared" si="28"/>
        <v>1144036537.1319191</v>
      </c>
      <c r="E109" s="282">
        <f t="shared" si="28"/>
        <v>986359545.1505369</v>
      </c>
      <c r="F109" s="282">
        <f t="shared" si="28"/>
        <v>919620593.33286</v>
      </c>
      <c r="G109" s="282">
        <f t="shared" si="28"/>
        <v>863714800.6411904</v>
      </c>
      <c r="H109" s="282">
        <f t="shared" si="28"/>
        <v>888442189.4195776</v>
      </c>
      <c r="I109" s="282">
        <f t="shared" si="28"/>
        <v>894574104.54868</v>
      </c>
      <c r="J109" s="282">
        <f t="shared" si="28"/>
        <v>796920444.664377</v>
      </c>
      <c r="K109" s="282">
        <f t="shared" si="28"/>
        <v>806282061.0739611</v>
      </c>
      <c r="L109" s="282">
        <f t="shared" si="28"/>
        <v>871313299.806461</v>
      </c>
      <c r="M109" s="282">
        <f t="shared" si="28"/>
        <v>1051443331.7860276</v>
      </c>
      <c r="N109" s="278">
        <f t="shared" si="16"/>
        <v>11562907748.129288</v>
      </c>
      <c r="O109" s="282"/>
      <c r="P109" s="282"/>
    </row>
    <row r="110" spans="1:14" ht="12.75">
      <c r="A110" s="235"/>
      <c r="N110" s="235"/>
    </row>
    <row r="111" spans="1:16" ht="12.75">
      <c r="A111" s="236" t="s">
        <v>96</v>
      </c>
      <c r="O111" s="282"/>
      <c r="P111" s="282"/>
    </row>
    <row r="112" spans="1:16" ht="12.75">
      <c r="A112" s="378" t="s">
        <v>74</v>
      </c>
      <c r="O112" s="282"/>
      <c r="P112" s="282"/>
    </row>
    <row r="113" spans="1:16" ht="12.75">
      <c r="A113" s="378" t="s">
        <v>171</v>
      </c>
      <c r="B113" s="278">
        <f>B81*B$130</f>
        <v>15403749.10820004</v>
      </c>
      <c r="C113" s="278">
        <f aca="true" t="shared" si="29" ref="C113:M113">C81*C$130</f>
        <v>12387455.259102404</v>
      </c>
      <c r="D113" s="278">
        <f t="shared" si="29"/>
        <v>15460401.666999713</v>
      </c>
      <c r="E113" s="278">
        <f t="shared" si="29"/>
        <v>14738452.081401622</v>
      </c>
      <c r="F113" s="278">
        <f t="shared" si="29"/>
        <v>15318178.592192028</v>
      </c>
      <c r="G113" s="278">
        <f t="shared" si="29"/>
        <v>14623880.503337821</v>
      </c>
      <c r="H113" s="278">
        <f t="shared" si="29"/>
        <v>15803487.048968889</v>
      </c>
      <c r="I113" s="278">
        <f t="shared" si="29"/>
        <v>16048151.177979404</v>
      </c>
      <c r="J113" s="278">
        <f t="shared" si="29"/>
        <v>14662014.822913062</v>
      </c>
      <c r="K113" s="278">
        <f t="shared" si="29"/>
        <v>16162817.011809826</v>
      </c>
      <c r="L113" s="278">
        <f t="shared" si="29"/>
        <v>14792040.502726225</v>
      </c>
      <c r="M113" s="278">
        <f t="shared" si="29"/>
        <v>15821106.079935635</v>
      </c>
      <c r="N113" s="278">
        <f>SUM(B113:M113)</f>
        <v>181221733.85556668</v>
      </c>
      <c r="O113" s="282"/>
      <c r="P113" s="282"/>
    </row>
    <row r="114" spans="1:16" ht="12.75">
      <c r="A114" s="379" t="s">
        <v>172</v>
      </c>
      <c r="B114" s="278">
        <f>B82*B$130</f>
        <v>0</v>
      </c>
      <c r="C114" s="278">
        <f aca="true" t="shared" si="30" ref="C114:M114">C82*C$130</f>
        <v>0</v>
      </c>
      <c r="D114" s="278">
        <f t="shared" si="30"/>
        <v>0</v>
      </c>
      <c r="E114" s="278">
        <f t="shared" si="30"/>
        <v>0</v>
      </c>
      <c r="F114" s="278">
        <f t="shared" si="30"/>
        <v>0</v>
      </c>
      <c r="G114" s="278">
        <f t="shared" si="30"/>
        <v>0</v>
      </c>
      <c r="H114" s="278">
        <f t="shared" si="30"/>
        <v>0</v>
      </c>
      <c r="I114" s="278">
        <f t="shared" si="30"/>
        <v>0</v>
      </c>
      <c r="J114" s="278">
        <f t="shared" si="30"/>
        <v>0</v>
      </c>
      <c r="K114" s="278">
        <f t="shared" si="30"/>
        <v>0</v>
      </c>
      <c r="L114" s="278">
        <f t="shared" si="30"/>
        <v>0</v>
      </c>
      <c r="M114" s="278">
        <f t="shared" si="30"/>
        <v>0</v>
      </c>
      <c r="N114" s="278">
        <f>SUM(B114:M114)</f>
        <v>0</v>
      </c>
      <c r="O114" s="282"/>
      <c r="P114" s="282"/>
    </row>
    <row r="115" spans="1:16" ht="12.75">
      <c r="A115" s="235" t="s">
        <v>31</v>
      </c>
      <c r="B115" s="278">
        <f>B83*B$130</f>
        <v>-453004.9471835656</v>
      </c>
      <c r="C115" s="278">
        <f aca="true" t="shared" si="31" ref="C115:M115">C83*C$130</f>
        <v>-211597.44934037168</v>
      </c>
      <c r="D115" s="278">
        <f t="shared" si="31"/>
        <v>-205229.79758471635</v>
      </c>
      <c r="E115" s="278">
        <f t="shared" si="31"/>
        <v>98777.60590928455</v>
      </c>
      <c r="F115" s="278">
        <f t="shared" si="31"/>
        <v>1793555.006349085</v>
      </c>
      <c r="G115" s="278">
        <f t="shared" si="31"/>
        <v>-60687.17191520435</v>
      </c>
      <c r="H115" s="278">
        <f t="shared" si="31"/>
        <v>2053872.660869597</v>
      </c>
      <c r="I115" s="278">
        <f t="shared" si="31"/>
        <v>1559005.9944411993</v>
      </c>
      <c r="J115" s="278">
        <f t="shared" si="31"/>
        <v>598723.5119370727</v>
      </c>
      <c r="K115" s="278">
        <f t="shared" si="31"/>
        <v>2864762.1574444366</v>
      </c>
      <c r="L115" s="278">
        <f t="shared" si="31"/>
        <v>1340891.4753292329</v>
      </c>
      <c r="M115" s="278">
        <f t="shared" si="31"/>
        <v>205105.3622967855</v>
      </c>
      <c r="N115" s="278">
        <f>SUM(B115:M115)</f>
        <v>9584174.408552837</v>
      </c>
      <c r="O115" s="282"/>
      <c r="P115" s="282"/>
    </row>
    <row r="116" spans="1:16" ht="12.75">
      <c r="A116" s="235" t="s">
        <v>291</v>
      </c>
      <c r="B116" s="278">
        <f>B84*B$130</f>
        <v>15654216.573374031</v>
      </c>
      <c r="C116" s="278">
        <f aca="true" t="shared" si="32" ref="C116:M116">C84*C$130</f>
        <v>15640726.337250514</v>
      </c>
      <c r="D116" s="278">
        <f t="shared" si="32"/>
        <v>15754485.394361127</v>
      </c>
      <c r="E116" s="278">
        <f t="shared" si="32"/>
        <v>16020056.610219156</v>
      </c>
      <c r="F116" s="278">
        <f t="shared" si="32"/>
        <v>15567254.666861825</v>
      </c>
      <c r="G116" s="278">
        <f t="shared" si="32"/>
        <v>15895522.286236765</v>
      </c>
      <c r="H116" s="278">
        <f t="shared" si="32"/>
        <v>16060454.318057822</v>
      </c>
      <c r="I116" s="278">
        <f t="shared" si="32"/>
        <v>16309096.725588834</v>
      </c>
      <c r="J116" s="278">
        <f t="shared" si="32"/>
        <v>15936972.633601157</v>
      </c>
      <c r="K116" s="278">
        <f t="shared" si="32"/>
        <v>16425627.04452219</v>
      </c>
      <c r="L116" s="278">
        <f t="shared" si="32"/>
        <v>16078304.89426764</v>
      </c>
      <c r="M116" s="278">
        <f t="shared" si="32"/>
        <v>16078359.83733297</v>
      </c>
      <c r="N116" s="278">
        <f>SUM(B116:M116)</f>
        <v>191421077.32167402</v>
      </c>
      <c r="O116" s="282"/>
      <c r="P116" s="282"/>
    </row>
    <row r="117" spans="1:16" ht="12.75">
      <c r="A117" s="380" t="s">
        <v>140</v>
      </c>
      <c r="B117" s="278">
        <f>B85*B$130</f>
        <v>-1526496.753769852</v>
      </c>
      <c r="C117" s="278">
        <f aca="true" t="shared" si="33" ref="C117:M117">C85*C$130</f>
        <v>4724678.298669608</v>
      </c>
      <c r="D117" s="278">
        <f t="shared" si="33"/>
        <v>9418211.604304671</v>
      </c>
      <c r="E117" s="278">
        <f t="shared" si="33"/>
        <v>13050745.551933242</v>
      </c>
      <c r="F117" s="278">
        <f t="shared" si="33"/>
        <v>16578240.401736844</v>
      </c>
      <c r="G117" s="278">
        <f t="shared" si="33"/>
        <v>458682.7411506056</v>
      </c>
      <c r="H117" s="278">
        <f t="shared" si="33"/>
        <v>17646060.552526277</v>
      </c>
      <c r="I117" s="278">
        <f t="shared" si="33"/>
        <v>2339650.5533108017</v>
      </c>
      <c r="J117" s="278">
        <f t="shared" si="33"/>
        <v>-2988536.6328282254</v>
      </c>
      <c r="K117" s="278">
        <f t="shared" si="33"/>
        <v>-4031703.2877377137</v>
      </c>
      <c r="L117" s="278">
        <f t="shared" si="33"/>
        <v>0</v>
      </c>
      <c r="M117" s="278">
        <f t="shared" si="33"/>
        <v>0</v>
      </c>
      <c r="N117" s="278">
        <f>SUM(B117:M117)</f>
        <v>55669533.029296264</v>
      </c>
      <c r="O117" s="282"/>
      <c r="P117" s="282"/>
    </row>
    <row r="118" spans="1:16" ht="12.75">
      <c r="A118" s="235" t="s">
        <v>44</v>
      </c>
      <c r="B118" s="282">
        <f aca="true" t="shared" si="34" ref="B118:N118">SUM(B113:B117)</f>
        <v>29078463.980620652</v>
      </c>
      <c r="C118" s="282">
        <f t="shared" si="34"/>
        <v>32541262.445682153</v>
      </c>
      <c r="D118" s="282">
        <f t="shared" si="34"/>
        <v>40427868.868080795</v>
      </c>
      <c r="E118" s="282">
        <f t="shared" si="34"/>
        <v>43908031.84946331</v>
      </c>
      <c r="F118" s="282">
        <f t="shared" si="34"/>
        <v>49257228.66713978</v>
      </c>
      <c r="G118" s="282">
        <f t="shared" si="34"/>
        <v>30917398.35880999</v>
      </c>
      <c r="H118" s="282">
        <f t="shared" si="34"/>
        <v>51563874.58042258</v>
      </c>
      <c r="I118" s="282">
        <f t="shared" si="34"/>
        <v>36255904.45132024</v>
      </c>
      <c r="J118" s="282">
        <f t="shared" si="34"/>
        <v>28209174.335623067</v>
      </c>
      <c r="K118" s="282">
        <f t="shared" si="34"/>
        <v>31421502.926038742</v>
      </c>
      <c r="L118" s="282">
        <f t="shared" si="34"/>
        <v>32211236.872323096</v>
      </c>
      <c r="M118" s="282">
        <f t="shared" si="34"/>
        <v>32104571.27956539</v>
      </c>
      <c r="N118" s="278">
        <f t="shared" si="34"/>
        <v>437896518.6150898</v>
      </c>
      <c r="O118" s="282"/>
      <c r="P118" s="282"/>
    </row>
    <row r="119" spans="1:16" ht="12.75">
      <c r="A119" s="235"/>
      <c r="N119" s="282">
        <f>SUM(B119:M119)</f>
        <v>0</v>
      </c>
      <c r="O119" s="282"/>
      <c r="P119" s="282"/>
    </row>
    <row r="120" spans="1:16" ht="12.75">
      <c r="A120" s="236" t="s">
        <v>142</v>
      </c>
      <c r="B120" s="278">
        <f>B109+B118</f>
        <v>1245505949</v>
      </c>
      <c r="C120" s="278">
        <f aca="true" t="shared" si="35" ref="C120:M120">C109+C118</f>
        <v>1156314618</v>
      </c>
      <c r="D120" s="278">
        <f t="shared" si="35"/>
        <v>1184464406</v>
      </c>
      <c r="E120" s="278">
        <f t="shared" si="35"/>
        <v>1030267577.0000002</v>
      </c>
      <c r="F120" s="278">
        <f t="shared" si="35"/>
        <v>968877821.9999998</v>
      </c>
      <c r="G120" s="278">
        <f t="shared" si="35"/>
        <v>894632199.0000004</v>
      </c>
      <c r="H120" s="278">
        <f t="shared" si="35"/>
        <v>940006064.0000002</v>
      </c>
      <c r="I120" s="278">
        <f t="shared" si="35"/>
        <v>930830009.0000002</v>
      </c>
      <c r="J120" s="278">
        <f t="shared" si="35"/>
        <v>825129619</v>
      </c>
      <c r="K120" s="278">
        <f t="shared" si="35"/>
        <v>837703563.9999999</v>
      </c>
      <c r="L120" s="278">
        <f t="shared" si="35"/>
        <v>903524536.6787841</v>
      </c>
      <c r="M120" s="278">
        <f t="shared" si="35"/>
        <v>1083547903.065593</v>
      </c>
      <c r="N120" s="278">
        <f>SUM(B120:M120)</f>
        <v>12000804266.744377</v>
      </c>
      <c r="O120" s="282"/>
      <c r="P120" s="282"/>
    </row>
    <row r="121" spans="2:16" ht="12.75"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82"/>
      <c r="O121" s="282"/>
      <c r="P121" s="282"/>
    </row>
    <row r="122" spans="1:16" ht="12.75">
      <c r="A122" s="236" t="s">
        <v>97</v>
      </c>
      <c r="B122" s="278">
        <f>B90</f>
        <v>208000</v>
      </c>
      <c r="C122" s="278">
        <f aca="true" t="shared" si="36" ref="C122:M122">C90</f>
        <v>62000</v>
      </c>
      <c r="D122" s="278">
        <f t="shared" si="36"/>
        <v>361000</v>
      </c>
      <c r="E122" s="278">
        <f t="shared" si="36"/>
        <v>52000</v>
      </c>
      <c r="F122" s="278">
        <f t="shared" si="36"/>
        <v>180000</v>
      </c>
      <c r="G122" s="278">
        <f t="shared" si="36"/>
        <v>0</v>
      </c>
      <c r="H122" s="278">
        <f t="shared" si="36"/>
        <v>1102000</v>
      </c>
      <c r="I122" s="278">
        <f t="shared" si="36"/>
        <v>1263000</v>
      </c>
      <c r="J122" s="278">
        <f t="shared" si="36"/>
        <v>285000</v>
      </c>
      <c r="K122" s="278">
        <f t="shared" si="36"/>
        <v>996000</v>
      </c>
      <c r="L122" s="278">
        <f t="shared" si="36"/>
        <v>21981000</v>
      </c>
      <c r="M122" s="278">
        <f t="shared" si="36"/>
        <v>-4000</v>
      </c>
      <c r="N122" s="278">
        <f>SUM(B122:M122)</f>
        <v>26486000</v>
      </c>
      <c r="O122" s="282"/>
      <c r="P122" s="282"/>
    </row>
    <row r="123" spans="2:16" ht="12.75"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82"/>
      <c r="P123" s="282"/>
    </row>
    <row r="124" spans="1:16" ht="12.75">
      <c r="A124" s="229" t="s">
        <v>296</v>
      </c>
      <c r="B124" s="278">
        <f>B120+B122</f>
        <v>1245713949</v>
      </c>
      <c r="C124" s="278">
        <f aca="true" t="shared" si="37" ref="C124:M124">C120+C122</f>
        <v>1156376618</v>
      </c>
      <c r="D124" s="278">
        <f t="shared" si="37"/>
        <v>1184825406</v>
      </c>
      <c r="E124" s="278">
        <f t="shared" si="37"/>
        <v>1030319577.0000002</v>
      </c>
      <c r="F124" s="278">
        <f t="shared" si="37"/>
        <v>969057821.9999998</v>
      </c>
      <c r="G124" s="278">
        <f t="shared" si="37"/>
        <v>894632199.0000004</v>
      </c>
      <c r="H124" s="278">
        <f t="shared" si="37"/>
        <v>941108064.0000002</v>
      </c>
      <c r="I124" s="278">
        <f t="shared" si="37"/>
        <v>932093009.0000002</v>
      </c>
      <c r="J124" s="278">
        <f t="shared" si="37"/>
        <v>825414619</v>
      </c>
      <c r="K124" s="278">
        <f t="shared" si="37"/>
        <v>838699563.9999999</v>
      </c>
      <c r="L124" s="278">
        <f t="shared" si="37"/>
        <v>925505536.6787841</v>
      </c>
      <c r="M124" s="278">
        <f t="shared" si="37"/>
        <v>1083543903.065593</v>
      </c>
      <c r="N124" s="278">
        <f>SUM(B124:M124)</f>
        <v>12027290266.744377</v>
      </c>
      <c r="O124" s="282"/>
      <c r="P124" s="282"/>
    </row>
    <row r="125" spans="1:14" ht="12.75">
      <c r="A125" s="229"/>
      <c r="N125" s="297"/>
    </row>
    <row r="126" spans="1:14" ht="12.75">
      <c r="A126" s="228" t="s">
        <v>297</v>
      </c>
      <c r="B126" s="278">
        <f aca="true" t="shared" si="38" ref="B126:M126">+B109+B118</f>
        <v>1245505949</v>
      </c>
      <c r="C126" s="278">
        <f t="shared" si="38"/>
        <v>1156314618</v>
      </c>
      <c r="D126" s="278">
        <f t="shared" si="38"/>
        <v>1184464406</v>
      </c>
      <c r="E126" s="278">
        <f t="shared" si="38"/>
        <v>1030267577.0000002</v>
      </c>
      <c r="F126" s="278">
        <f t="shared" si="38"/>
        <v>968877821.9999998</v>
      </c>
      <c r="G126" s="278">
        <f t="shared" si="38"/>
        <v>894632199.0000004</v>
      </c>
      <c r="H126" s="278">
        <f>+H109+H118</f>
        <v>940006064.0000002</v>
      </c>
      <c r="I126" s="278">
        <f t="shared" si="38"/>
        <v>930830009.0000002</v>
      </c>
      <c r="J126" s="278">
        <f t="shared" si="38"/>
        <v>825129619</v>
      </c>
      <c r="K126" s="278">
        <f t="shared" si="38"/>
        <v>837703563.9999999</v>
      </c>
      <c r="L126" s="278">
        <f t="shared" si="38"/>
        <v>903524536.6787841</v>
      </c>
      <c r="M126" s="278">
        <f t="shared" si="38"/>
        <v>1083547903.065593</v>
      </c>
      <c r="N126" s="278">
        <f>SUM(B126:M126)</f>
        <v>12000804266.744377</v>
      </c>
    </row>
    <row r="127" spans="1:14" ht="12.75">
      <c r="A127" s="228" t="s">
        <v>265</v>
      </c>
      <c r="B127" s="278">
        <f>B126-B129</f>
        <v>0</v>
      </c>
      <c r="C127" s="278">
        <f aca="true" t="shared" si="39" ref="C127:N127">C126-C129</f>
        <v>0</v>
      </c>
      <c r="D127" s="278">
        <f t="shared" si="39"/>
        <v>0</v>
      </c>
      <c r="E127" s="278">
        <f t="shared" si="39"/>
        <v>0</v>
      </c>
      <c r="F127" s="278">
        <f t="shared" si="39"/>
        <v>0</v>
      </c>
      <c r="G127" s="278">
        <f t="shared" si="39"/>
        <v>0</v>
      </c>
      <c r="H127" s="278">
        <f>H126-H129</f>
        <v>0</v>
      </c>
      <c r="I127" s="278">
        <f t="shared" si="39"/>
        <v>0</v>
      </c>
      <c r="J127" s="278">
        <f t="shared" si="39"/>
        <v>0</v>
      </c>
      <c r="K127" s="278">
        <f t="shared" si="39"/>
        <v>0</v>
      </c>
      <c r="L127" s="278">
        <f t="shared" si="39"/>
        <v>0</v>
      </c>
      <c r="M127" s="278">
        <f t="shared" si="39"/>
        <v>0</v>
      </c>
      <c r="N127" s="278">
        <f t="shared" si="39"/>
        <v>0</v>
      </c>
    </row>
    <row r="128" spans="1:14" ht="12.75">
      <c r="A128" s="228" t="s">
        <v>298</v>
      </c>
      <c r="B128" s="278">
        <f>B88</f>
        <v>1278690611.2063177</v>
      </c>
      <c r="C128" s="278">
        <f aca="true" t="shared" si="40" ref="C128:M128">C88</f>
        <v>1188146811.059812</v>
      </c>
      <c r="D128" s="278">
        <f t="shared" si="40"/>
        <v>1208283376.552633</v>
      </c>
      <c r="E128" s="278">
        <f t="shared" si="40"/>
        <v>1033563096.1302575</v>
      </c>
      <c r="F128" s="278">
        <f t="shared" si="40"/>
        <v>1000248693.4228052</v>
      </c>
      <c r="G128" s="278">
        <f t="shared" si="40"/>
        <v>904525324.8606939</v>
      </c>
      <c r="H128" s="278">
        <f t="shared" si="40"/>
        <v>940640853.43945</v>
      </c>
      <c r="I128" s="278">
        <f t="shared" si="40"/>
        <v>917257931.2850692</v>
      </c>
      <c r="J128" s="278">
        <f t="shared" si="40"/>
        <v>832084358.2221951</v>
      </c>
      <c r="K128" s="278">
        <f t="shared" si="40"/>
        <v>819632958.4022182</v>
      </c>
      <c r="L128" s="278">
        <f t="shared" si="40"/>
        <v>903130894.8185714</v>
      </c>
      <c r="M128" s="278">
        <f t="shared" si="40"/>
        <v>1083072128.6697273</v>
      </c>
      <c r="N128" s="278">
        <f>SUM(B128:M128)</f>
        <v>12109277038.06975</v>
      </c>
    </row>
    <row r="129" spans="1:14" ht="12.75">
      <c r="A129" s="228" t="s">
        <v>299</v>
      </c>
      <c r="B129" s="278">
        <f>'Data Inputs - 2011'!C52</f>
        <v>1245505949</v>
      </c>
      <c r="C129" s="278">
        <f>'Data Inputs - 2011'!D52</f>
        <v>1156314618.0000002</v>
      </c>
      <c r="D129" s="278">
        <f>'Data Inputs - 2011'!E52</f>
        <v>1184464405.9999998</v>
      </c>
      <c r="E129" s="278">
        <f>'Data Inputs - 2011'!F52</f>
        <v>1030267577.0000001</v>
      </c>
      <c r="F129" s="278">
        <f>'Data Inputs - 2011'!G52</f>
        <v>968877822</v>
      </c>
      <c r="G129" s="278">
        <f>'Data Inputs - 2011'!H52</f>
        <v>894632199.0000002</v>
      </c>
      <c r="H129" s="278">
        <f>'Data Inputs - 2011'!I52</f>
        <v>940006064.0000001</v>
      </c>
      <c r="I129" s="278">
        <f>'Data Inputs - 2011'!J52</f>
        <v>930830009.0000001</v>
      </c>
      <c r="J129" s="278">
        <f>'Data Inputs - 2011'!K52</f>
        <v>825129619</v>
      </c>
      <c r="K129" s="278">
        <f>'Data Inputs - 2011'!L52</f>
        <v>837703564</v>
      </c>
      <c r="L129" s="278">
        <f>'Data Inputs - 2011'!M52</f>
        <v>903524536.6787843</v>
      </c>
      <c r="M129" s="278">
        <f>'Data Inputs - 2011'!N52</f>
        <v>1083547903.0655928</v>
      </c>
      <c r="N129" s="278">
        <f>SUM(B129:M129)</f>
        <v>12000804266.744377</v>
      </c>
    </row>
    <row r="130" spans="1:14" ht="12.75">
      <c r="A130" s="229" t="s">
        <v>300</v>
      </c>
      <c r="B130" s="298">
        <f>+B129/B128</f>
        <v>0.9740479347267504</v>
      </c>
      <c r="C130" s="298">
        <f aca="true" t="shared" si="41" ref="C130:N130">+C129/C128</f>
        <v>0.9732085355416492</v>
      </c>
      <c r="D130" s="298">
        <f t="shared" si="41"/>
        <v>0.9802869335001599</v>
      </c>
      <c r="E130" s="298">
        <f t="shared" si="41"/>
        <v>0.9968114969056112</v>
      </c>
      <c r="F130" s="298">
        <f t="shared" si="41"/>
        <v>0.9686369283668289</v>
      </c>
      <c r="G130" s="298">
        <f t="shared" si="41"/>
        <v>0.9890626325335696</v>
      </c>
      <c r="H130" s="298">
        <f t="shared" si="41"/>
        <v>0.9993251521692591</v>
      </c>
      <c r="I130" s="298">
        <f t="shared" si="41"/>
        <v>1.0147963590741773</v>
      </c>
      <c r="J130" s="298">
        <f t="shared" si="41"/>
        <v>0.991641785891692</v>
      </c>
      <c r="K130" s="298">
        <f t="shared" si="41"/>
        <v>1.0220471924811423</v>
      </c>
      <c r="L130" s="298">
        <f t="shared" si="41"/>
        <v>1.0004358635746724</v>
      </c>
      <c r="M130" s="298">
        <f t="shared" si="41"/>
        <v>1.0004392822816426</v>
      </c>
      <c r="N130" s="298">
        <f t="shared" si="41"/>
        <v>0.9910421760948774</v>
      </c>
    </row>
    <row r="131" spans="2:14" ht="12.75"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</row>
    <row r="132" spans="2:14" ht="12.75"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</row>
    <row r="133" spans="1:13" ht="12.75">
      <c r="A133" s="229"/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</row>
    <row r="134" ht="5.25" customHeight="1"/>
    <row r="135" ht="15.75">
      <c r="A135" s="270" t="s">
        <v>191</v>
      </c>
    </row>
    <row r="136" ht="12.75">
      <c r="A136" s="229" t="s">
        <v>98</v>
      </c>
    </row>
    <row r="137" spans="1:13" ht="12.75">
      <c r="A137" s="271" t="s">
        <v>54</v>
      </c>
      <c r="B137" s="299">
        <f>+B99/B$109</f>
        <v>0.46559342748693067</v>
      </c>
      <c r="C137" s="299">
        <f aca="true" t="shared" si="42" ref="C137:M137">+C99/C$109</f>
        <v>0.45806329823102687</v>
      </c>
      <c r="D137" s="299">
        <f t="shared" si="42"/>
        <v>0.43500119991522</v>
      </c>
      <c r="E137" s="299">
        <f t="shared" si="42"/>
        <v>0.40048802140831047</v>
      </c>
      <c r="F137" s="299">
        <f t="shared" si="42"/>
        <v>0.3781235685279974</v>
      </c>
      <c r="G137" s="299">
        <f t="shared" si="42"/>
        <v>0.33539282418617766</v>
      </c>
      <c r="H137" s="299">
        <f t="shared" si="42"/>
        <v>0.3203999912554352</v>
      </c>
      <c r="I137" s="299">
        <f t="shared" si="42"/>
        <v>0.32317334373211065</v>
      </c>
      <c r="J137" s="299">
        <f t="shared" si="42"/>
        <v>0.35633349286255317</v>
      </c>
      <c r="K137" s="299">
        <f t="shared" si="42"/>
        <v>0.40953789720488576</v>
      </c>
      <c r="L137" s="299">
        <f t="shared" si="42"/>
        <v>0.44303939522836294</v>
      </c>
      <c r="M137" s="299">
        <f t="shared" si="42"/>
        <v>0.4995812673115403</v>
      </c>
    </row>
    <row r="138" spans="1:13" ht="12.75">
      <c r="A138" s="271" t="s">
        <v>46</v>
      </c>
      <c r="B138" s="299">
        <f aca="true" t="shared" si="43" ref="B138:M138">+B100/B$109</f>
        <v>0.022385866516031378</v>
      </c>
      <c r="C138" s="299">
        <f t="shared" si="43"/>
        <v>0.02317121098013803</v>
      </c>
      <c r="D138" s="299">
        <f t="shared" si="43"/>
        <v>0.023526255173827088</v>
      </c>
      <c r="E138" s="299">
        <f t="shared" si="43"/>
        <v>0.021802583038293955</v>
      </c>
      <c r="F138" s="299">
        <f t="shared" si="43"/>
        <v>0.022483026191302977</v>
      </c>
      <c r="G138" s="299">
        <f t="shared" si="43"/>
        <v>0.020816266935983825</v>
      </c>
      <c r="H138" s="299">
        <f t="shared" si="43"/>
        <v>0.021296135863934862</v>
      </c>
      <c r="I138" s="299">
        <f t="shared" si="43"/>
        <v>0.02148752003582027</v>
      </c>
      <c r="J138" s="299">
        <f t="shared" si="43"/>
        <v>0.023704728018582144</v>
      </c>
      <c r="K138" s="299">
        <f t="shared" si="43"/>
        <v>0.0246747644680884</v>
      </c>
      <c r="L138" s="299">
        <f t="shared" si="43"/>
        <v>0.022324077597391346</v>
      </c>
      <c r="M138" s="299">
        <f t="shared" si="43"/>
        <v>0.023314580517795728</v>
      </c>
    </row>
    <row r="139" spans="1:13" ht="12.75">
      <c r="A139" s="271" t="s">
        <v>47</v>
      </c>
      <c r="B139" s="299">
        <f aca="true" t="shared" si="44" ref="B139:M139">+B101/B$109</f>
        <v>0.20740466570061825</v>
      </c>
      <c r="C139" s="299">
        <f t="shared" si="44"/>
        <v>0.21262843714036908</v>
      </c>
      <c r="D139" s="299">
        <f t="shared" si="44"/>
        <v>0.20962726261496048</v>
      </c>
      <c r="E139" s="299">
        <f t="shared" si="44"/>
        <v>0.208121663643564</v>
      </c>
      <c r="F139" s="299">
        <f t="shared" si="44"/>
        <v>0.21185368177358643</v>
      </c>
      <c r="G139" s="299">
        <f t="shared" si="44"/>
        <v>0.22818826812403972</v>
      </c>
      <c r="H139" s="299">
        <f t="shared" si="44"/>
        <v>0.2334477323585644</v>
      </c>
      <c r="I139" s="299">
        <f t="shared" si="44"/>
        <v>0.22888517993032795</v>
      </c>
      <c r="J139" s="299">
        <f t="shared" si="44"/>
        <v>0.23969778078004694</v>
      </c>
      <c r="K139" s="299">
        <f t="shared" si="44"/>
        <v>0.2654942464283515</v>
      </c>
      <c r="L139" s="299">
        <f t="shared" si="44"/>
        <v>0.2454435121677365</v>
      </c>
      <c r="M139" s="299">
        <f t="shared" si="44"/>
        <v>0.23283346434686744</v>
      </c>
    </row>
    <row r="140" spans="1:13" ht="12.75">
      <c r="A140" s="271" t="s">
        <v>48</v>
      </c>
      <c r="B140" s="299">
        <f aca="true" t="shared" si="45" ref="B140:M140">+B102/B$109</f>
        <v>0.030234480753221014</v>
      </c>
      <c r="C140" s="299">
        <f t="shared" si="45"/>
        <v>0.02866176296323518</v>
      </c>
      <c r="D140" s="299">
        <f t="shared" si="45"/>
        <v>0.034150740014656476</v>
      </c>
      <c r="E140" s="299">
        <f t="shared" si="45"/>
        <v>0.03488267294183647</v>
      </c>
      <c r="F140" s="299">
        <f t="shared" si="45"/>
        <v>0.03720369761879337</v>
      </c>
      <c r="G140" s="299">
        <f t="shared" si="45"/>
        <v>0.03990005987344754</v>
      </c>
      <c r="H140" s="299">
        <f t="shared" si="45"/>
        <v>0.045357426015273476</v>
      </c>
      <c r="I140" s="299">
        <f t="shared" si="45"/>
        <v>0.04659409331637407</v>
      </c>
      <c r="J140" s="299">
        <f t="shared" si="45"/>
        <v>0.047087322392414185</v>
      </c>
      <c r="K140" s="299">
        <f t="shared" si="45"/>
        <v>0.047311242752221094</v>
      </c>
      <c r="L140" s="299">
        <f t="shared" si="45"/>
        <v>0.04079103728997498</v>
      </c>
      <c r="M140" s="299">
        <f t="shared" si="45"/>
        <v>0.033775286253446064</v>
      </c>
    </row>
    <row r="141" spans="1:13" ht="12.75">
      <c r="A141" s="271" t="s">
        <v>49</v>
      </c>
      <c r="B141" s="299">
        <f aca="true" t="shared" si="46" ref="B141:M141">+B103/B$109</f>
        <v>0.020433069039938995</v>
      </c>
      <c r="C141" s="299">
        <f t="shared" si="46"/>
        <v>0.020516943221495432</v>
      </c>
      <c r="D141" s="299">
        <f t="shared" si="46"/>
        <v>0.021713182503451816</v>
      </c>
      <c r="E141" s="299">
        <f t="shared" si="46"/>
        <v>0.021662474835337574</v>
      </c>
      <c r="F141" s="299">
        <f t="shared" si="46"/>
        <v>0.02316152464266941</v>
      </c>
      <c r="G141" s="299">
        <f t="shared" si="46"/>
        <v>0.024506656827372228</v>
      </c>
      <c r="H141" s="299">
        <f t="shared" si="46"/>
        <v>0.027524137488933044</v>
      </c>
      <c r="I141" s="299">
        <f t="shared" si="46"/>
        <v>0.022777774271478257</v>
      </c>
      <c r="J141" s="299">
        <f t="shared" si="46"/>
        <v>0.02803112590373052</v>
      </c>
      <c r="K141" s="299">
        <f t="shared" si="46"/>
        <v>0.022400286379344585</v>
      </c>
      <c r="L141" s="299">
        <f t="shared" si="46"/>
        <v>0.02544774534663463</v>
      </c>
      <c r="M141" s="299">
        <f t="shared" si="46"/>
        <v>0.02439554096940595</v>
      </c>
    </row>
    <row r="142" spans="1:13" ht="12.75">
      <c r="A142" s="271" t="s">
        <v>50</v>
      </c>
      <c r="B142" s="299">
        <f aca="true" t="shared" si="47" ref="B142:M142">+B104/B$109</f>
        <v>0.0317767744099761</v>
      </c>
      <c r="C142" s="299">
        <f t="shared" si="47"/>
        <v>0.03566525519773272</v>
      </c>
      <c r="D142" s="299">
        <f t="shared" si="47"/>
        <v>0.039372835824825377</v>
      </c>
      <c r="E142" s="299">
        <f t="shared" si="47"/>
        <v>0.04504983753673557</v>
      </c>
      <c r="F142" s="299">
        <f t="shared" si="47"/>
        <v>0.04235658377411164</v>
      </c>
      <c r="G142" s="299">
        <f t="shared" si="47"/>
        <v>0.05000308161455981</v>
      </c>
      <c r="H142" s="299">
        <f t="shared" si="47"/>
        <v>0.0491409818045272</v>
      </c>
      <c r="I142" s="299">
        <f t="shared" si="47"/>
        <v>0.048032763125889714</v>
      </c>
      <c r="J142" s="299">
        <f t="shared" si="47"/>
        <v>0.05640815502240166</v>
      </c>
      <c r="K142" s="299">
        <f t="shared" si="47"/>
        <v>0.05615384092420058</v>
      </c>
      <c r="L142" s="299">
        <f t="shared" si="47"/>
        <v>0.05027541689046812</v>
      </c>
      <c r="M142" s="299">
        <f t="shared" si="47"/>
        <v>0.042338115657628614</v>
      </c>
    </row>
    <row r="143" spans="1:13" ht="12.75">
      <c r="A143" s="271" t="s">
        <v>51</v>
      </c>
      <c r="B143" s="299">
        <f aca="true" t="shared" si="48" ref="B143:M143">+B105/B$109</f>
        <v>0.06511291641345453</v>
      </c>
      <c r="C143" s="299">
        <f t="shared" si="48"/>
        <v>0.06618957065027745</v>
      </c>
      <c r="D143" s="299">
        <f t="shared" si="48"/>
        <v>0.0696642745112807</v>
      </c>
      <c r="E143" s="299">
        <f t="shared" si="48"/>
        <v>0.07997877292893966</v>
      </c>
      <c r="F143" s="299">
        <f t="shared" si="48"/>
        <v>0.08440435085585003</v>
      </c>
      <c r="G143" s="299">
        <f t="shared" si="48"/>
        <v>0.09269335302856499</v>
      </c>
      <c r="H143" s="299">
        <f t="shared" si="48"/>
        <v>0.0905522209350447</v>
      </c>
      <c r="I143" s="299">
        <f t="shared" si="48"/>
        <v>0.09444538987378147</v>
      </c>
      <c r="J143" s="299">
        <f t="shared" si="48"/>
        <v>0.1056029286122027</v>
      </c>
      <c r="K143" s="299">
        <f t="shared" si="48"/>
        <v>0.10308957996439694</v>
      </c>
      <c r="L143" s="299">
        <f t="shared" si="48"/>
        <v>0.09589874010470072</v>
      </c>
      <c r="M143" s="299">
        <f t="shared" si="48"/>
        <v>0.07500325351852817</v>
      </c>
    </row>
    <row r="144" spans="1:13" ht="12.75">
      <c r="A144" s="271" t="s">
        <v>55</v>
      </c>
      <c r="B144" s="299">
        <f aca="true" t="shared" si="49" ref="B144:M144">+B106/B$109</f>
        <v>0.1317622706877327</v>
      </c>
      <c r="C144" s="299">
        <f t="shared" si="49"/>
        <v>0.12871281612778793</v>
      </c>
      <c r="D144" s="299">
        <f t="shared" si="49"/>
        <v>0.13976936137325194</v>
      </c>
      <c r="E144" s="299">
        <f t="shared" si="49"/>
        <v>0.16092954169440402</v>
      </c>
      <c r="F144" s="299">
        <f t="shared" si="49"/>
        <v>0.17332136135506926</v>
      </c>
      <c r="G144" s="299">
        <f t="shared" si="49"/>
        <v>0.18235240181095125</v>
      </c>
      <c r="H144" s="299">
        <f t="shared" si="49"/>
        <v>0.1850870723864893</v>
      </c>
      <c r="I144" s="299">
        <f t="shared" si="49"/>
        <v>0.18666407041732389</v>
      </c>
      <c r="J144" s="299">
        <f>+J106/J$109</f>
        <v>0.11284260508802804</v>
      </c>
      <c r="K144" s="299">
        <f t="shared" si="49"/>
        <v>0.03838200206548327</v>
      </c>
      <c r="L144" s="299">
        <f t="shared" si="49"/>
        <v>0.04407436552748216</v>
      </c>
      <c r="M144" s="299">
        <f t="shared" si="49"/>
        <v>0.03774142559135709</v>
      </c>
    </row>
    <row r="145" spans="1:13" ht="12.75">
      <c r="A145" s="271" t="s">
        <v>52</v>
      </c>
      <c r="B145" s="299">
        <f aca="true" t="shared" si="50" ref="B145:M145">+B107/B$109</f>
        <v>0.01719666048582152</v>
      </c>
      <c r="C145" s="299">
        <f t="shared" si="50"/>
        <v>0.017563823844980855</v>
      </c>
      <c r="D145" s="299">
        <f t="shared" si="50"/>
        <v>0.017483176691397612</v>
      </c>
      <c r="E145" s="299">
        <f t="shared" si="50"/>
        <v>0.01671252936762221</v>
      </c>
      <c r="F145" s="299">
        <f t="shared" si="50"/>
        <v>0.015556953239419004</v>
      </c>
      <c r="G145" s="299">
        <f t="shared" si="50"/>
        <v>0.015151302375331523</v>
      </c>
      <c r="H145" s="299">
        <f t="shared" si="50"/>
        <v>0.015853456396337097</v>
      </c>
      <c r="I145" s="299">
        <f t="shared" si="50"/>
        <v>0.016041439274321063</v>
      </c>
      <c r="J145" s="299">
        <f t="shared" si="50"/>
        <v>0.017072784291290204</v>
      </c>
      <c r="K145" s="299">
        <f t="shared" si="50"/>
        <v>0.020143020850517064</v>
      </c>
      <c r="L145" s="299">
        <f t="shared" si="50"/>
        <v>0.020067519818395354</v>
      </c>
      <c r="M145" s="299">
        <f t="shared" si="50"/>
        <v>0.019985019214486997</v>
      </c>
    </row>
    <row r="146" spans="1:13" ht="12.75">
      <c r="A146" s="271" t="s">
        <v>53</v>
      </c>
      <c r="B146" s="300">
        <f aca="true" t="shared" si="51" ref="B146:M146">+B108/B$109</f>
        <v>0.008099868506274645</v>
      </c>
      <c r="C146" s="300">
        <f t="shared" si="51"/>
        <v>0.008826881642956358</v>
      </c>
      <c r="D146" s="300">
        <f t="shared" si="51"/>
        <v>0.009691711377128407</v>
      </c>
      <c r="E146" s="300">
        <f t="shared" si="51"/>
        <v>0.010371902604955989</v>
      </c>
      <c r="F146" s="300">
        <f t="shared" si="51"/>
        <v>0.011535252021200502</v>
      </c>
      <c r="G146" s="300">
        <f t="shared" si="51"/>
        <v>0.010995785223571404</v>
      </c>
      <c r="H146" s="300">
        <f t="shared" si="51"/>
        <v>0.01134084549546074</v>
      </c>
      <c r="I146" s="300">
        <f t="shared" si="51"/>
        <v>0.011898426022572732</v>
      </c>
      <c r="J146" s="300">
        <f t="shared" si="51"/>
        <v>0.013219077028750371</v>
      </c>
      <c r="K146" s="300">
        <f t="shared" si="51"/>
        <v>0.012813118962510939</v>
      </c>
      <c r="L146" s="300">
        <f t="shared" si="51"/>
        <v>0.01263819002885326</v>
      </c>
      <c r="M146" s="300">
        <f t="shared" si="51"/>
        <v>0.011032046618943756</v>
      </c>
    </row>
    <row r="147" spans="1:13" ht="12.75">
      <c r="A147" s="271" t="s">
        <v>44</v>
      </c>
      <c r="B147" s="301">
        <f aca="true" t="shared" si="52" ref="B147:M147">SUM(B137:B146)</f>
        <v>0.9999999999999997</v>
      </c>
      <c r="C147" s="301">
        <f t="shared" si="52"/>
        <v>0.9999999999999999</v>
      </c>
      <c r="D147" s="301">
        <f t="shared" si="52"/>
        <v>0.9999999999999999</v>
      </c>
      <c r="E147" s="301">
        <f t="shared" si="52"/>
        <v>0.9999999999999999</v>
      </c>
      <c r="F147" s="301">
        <f t="shared" si="52"/>
        <v>1</v>
      </c>
      <c r="G147" s="301">
        <f t="shared" si="52"/>
        <v>0.9999999999999999</v>
      </c>
      <c r="H147" s="301">
        <f t="shared" si="52"/>
        <v>0.9999999999999999</v>
      </c>
      <c r="I147" s="301">
        <f t="shared" si="52"/>
        <v>1</v>
      </c>
      <c r="J147" s="301">
        <f t="shared" si="52"/>
        <v>0.9999999999999999</v>
      </c>
      <c r="K147" s="301">
        <f t="shared" si="52"/>
        <v>1.0000000000000002</v>
      </c>
      <c r="L147" s="301">
        <f t="shared" si="52"/>
        <v>1</v>
      </c>
      <c r="M147" s="301">
        <f t="shared" si="52"/>
        <v>1.0000000000000002</v>
      </c>
    </row>
    <row r="148" ht="12.75">
      <c r="A148" s="236" t="s">
        <v>96</v>
      </c>
    </row>
    <row r="149" ht="12.75">
      <c r="A149" s="378" t="s">
        <v>74</v>
      </c>
    </row>
    <row r="150" spans="1:13" ht="12.75">
      <c r="A150" s="378" t="s">
        <v>171</v>
      </c>
      <c r="B150" s="299">
        <f>+B113/(B$109+B$113+B$114)</f>
        <v>0.012504756074893202</v>
      </c>
      <c r="C150" s="299">
        <f aca="true" t="shared" si="53" ref="C150:M150">+C113/(C$109+C$113+C$114)</f>
        <v>0.010902906649485436</v>
      </c>
      <c r="D150" s="299">
        <f t="shared" si="53"/>
        <v>0.013333714949704468</v>
      </c>
      <c r="E150" s="299">
        <f t="shared" si="53"/>
        <v>0.01472228705097185</v>
      </c>
      <c r="F150" s="299">
        <f t="shared" si="53"/>
        <v>0.016384151617385257</v>
      </c>
      <c r="G150" s="299">
        <f t="shared" si="53"/>
        <v>0.01664947794885001</v>
      </c>
      <c r="H150" s="299">
        <f t="shared" si="53"/>
        <v>0.017476983811178445</v>
      </c>
      <c r="I150" s="299">
        <f t="shared" si="53"/>
        <v>0.017623280209831116</v>
      </c>
      <c r="J150" s="299">
        <f t="shared" si="53"/>
        <v>0.01806595824184724</v>
      </c>
      <c r="K150" s="299">
        <f t="shared" si="53"/>
        <v>0.01965215839075873</v>
      </c>
      <c r="L150" s="299">
        <f t="shared" si="53"/>
        <v>0.016693320567919008</v>
      </c>
      <c r="M150" s="299">
        <f t="shared" si="53"/>
        <v>0.014823979436221591</v>
      </c>
    </row>
    <row r="151" spans="1:13" ht="12.75">
      <c r="A151" s="378" t="s">
        <v>172</v>
      </c>
      <c r="B151" s="299">
        <f>+B114/(B$109+B$113+B$114)</f>
        <v>0</v>
      </c>
      <c r="C151" s="299">
        <f aca="true" t="shared" si="54" ref="C151:M151">+C114/(C$109+C$113+C$114)</f>
        <v>0</v>
      </c>
      <c r="D151" s="299">
        <f t="shared" si="54"/>
        <v>0</v>
      </c>
      <c r="E151" s="299">
        <f t="shared" si="54"/>
        <v>0</v>
      </c>
      <c r="F151" s="299">
        <f t="shared" si="54"/>
        <v>0</v>
      </c>
      <c r="G151" s="299">
        <f t="shared" si="54"/>
        <v>0</v>
      </c>
      <c r="H151" s="299">
        <f t="shared" si="54"/>
        <v>0</v>
      </c>
      <c r="I151" s="299">
        <f t="shared" si="54"/>
        <v>0</v>
      </c>
      <c r="J151" s="299">
        <f t="shared" si="54"/>
        <v>0</v>
      </c>
      <c r="K151" s="299">
        <f t="shared" si="54"/>
        <v>0</v>
      </c>
      <c r="L151" s="299">
        <f t="shared" si="54"/>
        <v>0</v>
      </c>
      <c r="M151" s="299">
        <f t="shared" si="54"/>
        <v>0</v>
      </c>
    </row>
  </sheetData>
  <sheetProtection/>
  <printOptions/>
  <pageMargins left="0.7" right="0.7" top="0.75" bottom="0.75" header="0.3" footer="0.3"/>
  <pageSetup fitToHeight="2" horizontalDpi="600" verticalDpi="600" orientation="landscape" paperSize="17" scale="67" r:id="rId1"/>
  <rowBreaks count="1" manualBreakCount="1">
    <brk id="7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zoomScale="60" zoomScaleNormal="85" zoomScalePageLayoutView="0" workbookViewId="0" topLeftCell="A1">
      <pane xSplit="1" ySplit="1" topLeftCell="B56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A82" sqref="A82:A89"/>
    </sheetView>
  </sheetViews>
  <sheetFormatPr defaultColWidth="9.140625" defaultRowHeight="12.75"/>
  <cols>
    <col min="1" max="1" width="27.00390625" style="228" bestFit="1" customWidth="1"/>
    <col min="2" max="2" width="17.7109375" style="228" bestFit="1" customWidth="1"/>
    <col min="3" max="4" width="17.28125" style="228" bestFit="1" customWidth="1"/>
    <col min="5" max="5" width="17.57421875" style="228" bestFit="1" customWidth="1"/>
    <col min="6" max="6" width="16.28125" style="228" bestFit="1" customWidth="1"/>
    <col min="7" max="7" width="15.57421875" style="228" bestFit="1" customWidth="1"/>
    <col min="8" max="8" width="15.421875" style="228" bestFit="1" customWidth="1"/>
    <col min="9" max="9" width="16.57421875" style="228" bestFit="1" customWidth="1"/>
    <col min="10" max="10" width="15.140625" style="228" bestFit="1" customWidth="1"/>
    <col min="11" max="11" width="15.8515625" style="228" bestFit="1" customWidth="1"/>
    <col min="12" max="12" width="18.28125" style="228" bestFit="1" customWidth="1"/>
    <col min="13" max="13" width="17.28125" style="228" bestFit="1" customWidth="1"/>
    <col min="14" max="14" width="18.421875" style="228" bestFit="1" customWidth="1"/>
    <col min="15" max="15" width="13.8515625" style="228" bestFit="1" customWidth="1"/>
    <col min="16" max="16384" width="9.140625" style="228" customWidth="1"/>
  </cols>
  <sheetData>
    <row r="1" spans="1:14" ht="12.75">
      <c r="A1" s="275" t="s">
        <v>7</v>
      </c>
      <c r="B1" s="276">
        <v>40544</v>
      </c>
      <c r="C1" s="276">
        <v>40575</v>
      </c>
      <c r="D1" s="276">
        <v>40603</v>
      </c>
      <c r="E1" s="276">
        <v>40634</v>
      </c>
      <c r="F1" s="276">
        <v>40664</v>
      </c>
      <c r="G1" s="276">
        <v>40695</v>
      </c>
      <c r="H1" s="276">
        <v>40725</v>
      </c>
      <c r="I1" s="276">
        <v>40756</v>
      </c>
      <c r="J1" s="276">
        <v>40787</v>
      </c>
      <c r="K1" s="276">
        <v>40817</v>
      </c>
      <c r="L1" s="276">
        <v>40848</v>
      </c>
      <c r="M1" s="276">
        <v>40878</v>
      </c>
      <c r="N1" s="302" t="s">
        <v>334</v>
      </c>
    </row>
    <row r="2" spans="1:14" ht="12.7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8">
      <c r="A3" s="303" t="s">
        <v>190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2.75">
      <c r="A4" s="248" t="s">
        <v>39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12.75">
      <c r="A5" s="251" t="s">
        <v>93</v>
      </c>
      <c r="B5" s="278">
        <v>492760438.9932334</v>
      </c>
      <c r="C5" s="278">
        <v>428251508.05340827</v>
      </c>
      <c r="D5" s="278">
        <v>429314588.3805951</v>
      </c>
      <c r="E5" s="278">
        <v>342936914.124363</v>
      </c>
      <c r="F5" s="278">
        <v>310993783.5163025</v>
      </c>
      <c r="G5" s="278">
        <v>257695762.05931312</v>
      </c>
      <c r="H5" s="278">
        <v>260479630.38513908</v>
      </c>
      <c r="I5" s="278">
        <v>255554706.24919108</v>
      </c>
      <c r="J5" s="278">
        <v>255028374.75786856</v>
      </c>
      <c r="K5" s="278">
        <v>291433954.17059547</v>
      </c>
      <c r="L5" s="278">
        <v>336685066.1171382</v>
      </c>
      <c r="M5" s="278">
        <v>440157023.3959296</v>
      </c>
      <c r="N5" s="304">
        <f aca="true" t="shared" si="0" ref="N5:N16">SUM(B5:M5)</f>
        <v>4101291750.2030783</v>
      </c>
    </row>
    <row r="6" spans="1:14" ht="12.75">
      <c r="A6" s="251" t="s">
        <v>94</v>
      </c>
      <c r="B6" s="278">
        <v>27692997.844606716</v>
      </c>
      <c r="C6" s="278">
        <v>23368491.746298116</v>
      </c>
      <c r="D6" s="278">
        <v>22928432.98630067</v>
      </c>
      <c r="E6" s="278">
        <v>18608587.881173946</v>
      </c>
      <c r="F6" s="278">
        <v>14031144.546846122</v>
      </c>
      <c r="G6" s="278">
        <v>8881887.64350429</v>
      </c>
      <c r="H6" s="278">
        <v>7679534.610951661</v>
      </c>
      <c r="I6" s="278">
        <v>7136910.5981929805</v>
      </c>
      <c r="J6" s="278">
        <v>7958488.979310726</v>
      </c>
      <c r="K6" s="278">
        <v>11203056.549288675</v>
      </c>
      <c r="L6" s="278">
        <v>17056636.214380182</v>
      </c>
      <c r="M6" s="278">
        <v>29470842.203269035</v>
      </c>
      <c r="N6" s="281">
        <f t="shared" si="0"/>
        <v>196017011.8041231</v>
      </c>
    </row>
    <row r="7" spans="1:14" ht="12.75">
      <c r="A7" s="251" t="s">
        <v>95</v>
      </c>
      <c r="B7" s="278">
        <v>520453436.8378401</v>
      </c>
      <c r="C7" s="278">
        <v>451619999.7997064</v>
      </c>
      <c r="D7" s="278">
        <v>452243021.36689574</v>
      </c>
      <c r="E7" s="278">
        <v>361545502.005537</v>
      </c>
      <c r="F7" s="278">
        <v>325024928.0631486</v>
      </c>
      <c r="G7" s="278">
        <v>266577649.7028174</v>
      </c>
      <c r="H7" s="278">
        <v>268159164.99609074</v>
      </c>
      <c r="I7" s="278">
        <v>262691616.84738407</v>
      </c>
      <c r="J7" s="278">
        <v>262986863.73717928</v>
      </c>
      <c r="K7" s="278">
        <v>302637010.71988416</v>
      </c>
      <c r="L7" s="278">
        <v>353741702.3315184</v>
      </c>
      <c r="M7" s="278">
        <v>469627865.5991986</v>
      </c>
      <c r="N7" s="304">
        <f t="shared" si="0"/>
        <v>4297308762.0072</v>
      </c>
    </row>
    <row r="8" spans="1:14" ht="12.75">
      <c r="A8" s="251" t="s">
        <v>46</v>
      </c>
      <c r="B8" s="278">
        <v>23562867.090126876</v>
      </c>
      <c r="C8" s="278">
        <v>21639906.9264318</v>
      </c>
      <c r="D8" s="278">
        <v>20724561.000191133</v>
      </c>
      <c r="E8" s="278">
        <v>17576958.49643516</v>
      </c>
      <c r="F8" s="278">
        <v>16106188.20770685</v>
      </c>
      <c r="G8" s="278">
        <v>15337594.358744178</v>
      </c>
      <c r="H8" s="278">
        <v>15806493.280807616</v>
      </c>
      <c r="I8" s="278">
        <v>15912198.075702243</v>
      </c>
      <c r="J8" s="278">
        <v>14406626.18788125</v>
      </c>
      <c r="K8" s="278">
        <v>16067912.504760498</v>
      </c>
      <c r="L8" s="278">
        <v>16819836.18240302</v>
      </c>
      <c r="M8" s="278">
        <v>21007718.936081294</v>
      </c>
      <c r="N8" s="304">
        <f t="shared" si="0"/>
        <v>214968861.24727196</v>
      </c>
    </row>
    <row r="9" spans="1:14" ht="12.75">
      <c r="A9" s="251" t="s">
        <v>47</v>
      </c>
      <c r="B9" s="278">
        <v>233495523.1077636</v>
      </c>
      <c r="C9" s="278">
        <v>218994787.87211695</v>
      </c>
      <c r="D9" s="278">
        <v>225222353.89117616</v>
      </c>
      <c r="E9" s="278">
        <v>194872129.39899188</v>
      </c>
      <c r="F9" s="278">
        <v>183700473.75237158</v>
      </c>
      <c r="G9" s="278">
        <v>185757651.8066415</v>
      </c>
      <c r="H9" s="278">
        <v>200904896.62481132</v>
      </c>
      <c r="I9" s="278">
        <v>195350287.68377164</v>
      </c>
      <c r="J9" s="278">
        <v>181213131.97526762</v>
      </c>
      <c r="K9" s="278">
        <v>189526162.98134837</v>
      </c>
      <c r="L9" s="278">
        <v>198010707.566484</v>
      </c>
      <c r="M9" s="278">
        <v>225784355.90053412</v>
      </c>
      <c r="N9" s="304">
        <f t="shared" si="0"/>
        <v>2432832462.561279</v>
      </c>
    </row>
    <row r="10" spans="1:14" ht="12.75">
      <c r="A10" s="251" t="s">
        <v>48</v>
      </c>
      <c r="B10" s="278">
        <v>34301349.43153398</v>
      </c>
      <c r="C10" s="278">
        <v>31501766.51125152</v>
      </c>
      <c r="D10" s="278">
        <v>33983162.733766384</v>
      </c>
      <c r="E10" s="278">
        <v>31135862.000769623</v>
      </c>
      <c r="F10" s="278">
        <v>31317799.565871693</v>
      </c>
      <c r="G10" s="278">
        <v>33278692.051827267</v>
      </c>
      <c r="H10" s="278">
        <v>36477920.191805676</v>
      </c>
      <c r="I10" s="278">
        <v>37807819.60805433</v>
      </c>
      <c r="J10" s="278">
        <v>33466122.68182823</v>
      </c>
      <c r="K10" s="278">
        <v>32675739.206567712</v>
      </c>
      <c r="L10" s="278">
        <v>31891492.271392856</v>
      </c>
      <c r="M10" s="278">
        <v>32940125.41832471</v>
      </c>
      <c r="N10" s="304">
        <f t="shared" si="0"/>
        <v>400777851.672994</v>
      </c>
    </row>
    <row r="11" spans="1:14" ht="12.75">
      <c r="A11" s="251" t="s">
        <v>49</v>
      </c>
      <c r="B11" s="278">
        <v>21336171.98642462</v>
      </c>
      <c r="C11" s="278">
        <v>20454772.98978907</v>
      </c>
      <c r="D11" s="278">
        <v>20515517.59890771</v>
      </c>
      <c r="E11" s="278">
        <v>19572676.8458086</v>
      </c>
      <c r="F11" s="278">
        <v>19726968.960003074</v>
      </c>
      <c r="G11" s="278">
        <v>20593658.003234837</v>
      </c>
      <c r="H11" s="278">
        <v>20933825.95873125</v>
      </c>
      <c r="I11" s="278">
        <v>20894476.32456051</v>
      </c>
      <c r="J11" s="278">
        <v>19531022.254749123</v>
      </c>
      <c r="K11" s="278">
        <v>17988156.301712204</v>
      </c>
      <c r="L11" s="278">
        <v>19729588.69329522</v>
      </c>
      <c r="M11" s="278">
        <v>22880073.43929943</v>
      </c>
      <c r="N11" s="304">
        <f t="shared" si="0"/>
        <v>244156909.35651565</v>
      </c>
    </row>
    <row r="12" spans="1:14" ht="12.75">
      <c r="A12" s="251" t="s">
        <v>50</v>
      </c>
      <c r="B12" s="278">
        <v>38530700.366573885</v>
      </c>
      <c r="C12" s="278">
        <v>34766471.52058055</v>
      </c>
      <c r="D12" s="278">
        <v>37101772.964807235</v>
      </c>
      <c r="E12" s="278">
        <v>36973209.31771081</v>
      </c>
      <c r="F12" s="278">
        <v>36533603.20112632</v>
      </c>
      <c r="G12" s="278">
        <v>38246709.42066582</v>
      </c>
      <c r="H12" s="278">
        <v>38211563.997327</v>
      </c>
      <c r="I12" s="278">
        <v>38252852.09684199</v>
      </c>
      <c r="J12" s="278">
        <v>37258456.14414557</v>
      </c>
      <c r="K12" s="278">
        <v>37568246.75464844</v>
      </c>
      <c r="L12" s="278">
        <v>36791738.855484955</v>
      </c>
      <c r="M12" s="278">
        <v>37478968.23241163</v>
      </c>
      <c r="N12" s="304">
        <f t="shared" si="0"/>
        <v>447714292.8723242</v>
      </c>
    </row>
    <row r="13" spans="1:14" ht="12.75">
      <c r="A13" s="251" t="s">
        <v>51</v>
      </c>
      <c r="B13" s="278">
        <v>74733794.63976046</v>
      </c>
      <c r="C13" s="278">
        <v>68859071.85525525</v>
      </c>
      <c r="D13" s="278">
        <v>77678709.2816878</v>
      </c>
      <c r="E13" s="278">
        <v>75449234.65129136</v>
      </c>
      <c r="F13" s="278">
        <v>79831162.1554259</v>
      </c>
      <c r="G13" s="278">
        <v>75999130.18370616</v>
      </c>
      <c r="H13" s="278">
        <v>77605467.71286108</v>
      </c>
      <c r="I13" s="278">
        <v>85067876.04313174</v>
      </c>
      <c r="J13" s="278">
        <v>81400920.89131197</v>
      </c>
      <c r="K13" s="278">
        <v>81751908.27946852</v>
      </c>
      <c r="L13" s="278">
        <v>79868423.62600207</v>
      </c>
      <c r="M13" s="278">
        <v>72692573.57837842</v>
      </c>
      <c r="N13" s="304">
        <f t="shared" si="0"/>
        <v>930938272.8982807</v>
      </c>
    </row>
    <row r="14" spans="1:14" ht="12.75">
      <c r="A14" s="251" t="s">
        <v>164</v>
      </c>
      <c r="B14" s="278">
        <v>165352511.99999973</v>
      </c>
      <c r="C14" s="278">
        <v>149350655.99999976</v>
      </c>
      <c r="D14" s="278">
        <v>165088263.99999973</v>
      </c>
      <c r="E14" s="278">
        <v>160018560</v>
      </c>
      <c r="F14" s="278">
        <v>165352511.99999973</v>
      </c>
      <c r="G14" s="278">
        <v>160018560</v>
      </c>
      <c r="H14" s="278">
        <v>165352511.99999973</v>
      </c>
      <c r="I14" s="278">
        <v>165352511.99999973</v>
      </c>
      <c r="J14" s="278">
        <v>160018560</v>
      </c>
      <c r="K14" s="278">
        <v>165352511.99999973</v>
      </c>
      <c r="L14" s="278">
        <v>160282807.99999973</v>
      </c>
      <c r="M14" s="278">
        <v>165352511.99999973</v>
      </c>
      <c r="N14" s="304">
        <f>SUM(B14:M14)</f>
        <v>1946892479.9999979</v>
      </c>
    </row>
    <row r="15" spans="1:14" ht="12.75">
      <c r="A15" s="251" t="s">
        <v>52</v>
      </c>
      <c r="B15" s="278">
        <v>20853450.197614323</v>
      </c>
      <c r="C15" s="278">
        <v>19034169.12068297</v>
      </c>
      <c r="D15" s="278">
        <v>18514652.31218454</v>
      </c>
      <c r="E15" s="278">
        <v>15341181.1959235</v>
      </c>
      <c r="F15" s="278">
        <v>14042032.29240183</v>
      </c>
      <c r="G15" s="278">
        <v>13342472.537069935</v>
      </c>
      <c r="H15" s="278">
        <v>14408805.445168976</v>
      </c>
      <c r="I15" s="278">
        <v>14739620.138535094</v>
      </c>
      <c r="J15" s="278">
        <v>13900755.866330838</v>
      </c>
      <c r="K15" s="278">
        <v>16427145.566480173</v>
      </c>
      <c r="L15" s="278">
        <v>16636289.350059185</v>
      </c>
      <c r="M15" s="278">
        <v>20126797.74146871</v>
      </c>
      <c r="N15" s="304">
        <f t="shared" si="0"/>
        <v>197367371.76392007</v>
      </c>
    </row>
    <row r="16" spans="1:14" ht="12.75">
      <c r="A16" s="251" t="s">
        <v>53</v>
      </c>
      <c r="B16" s="278">
        <v>11719837.625833122</v>
      </c>
      <c r="C16" s="278">
        <v>9916134.063191883</v>
      </c>
      <c r="D16" s="278">
        <v>9755996.127129579</v>
      </c>
      <c r="E16" s="278">
        <v>8678987.449660107</v>
      </c>
      <c r="F16" s="278">
        <v>7867505.507507021</v>
      </c>
      <c r="G16" s="278">
        <v>6981023.122066471</v>
      </c>
      <c r="H16" s="278">
        <v>7330214.9415808255</v>
      </c>
      <c r="I16" s="278">
        <v>8021073.5162606295</v>
      </c>
      <c r="J16" s="278">
        <v>8719019.202785209</v>
      </c>
      <c r="K16" s="278">
        <v>9502994.580198642</v>
      </c>
      <c r="L16" s="278">
        <v>11141863.951286593</v>
      </c>
      <c r="M16" s="278">
        <v>12262004.280172521</v>
      </c>
      <c r="N16" s="281">
        <f t="shared" si="0"/>
        <v>111896654.3676726</v>
      </c>
    </row>
    <row r="17" spans="1:14" ht="12.75">
      <c r="A17" s="248" t="s">
        <v>56</v>
      </c>
      <c r="B17" s="283">
        <f aca="true" t="shared" si="1" ref="B17:M17">SUM(B7:B16)</f>
        <v>1144339643.2834706</v>
      </c>
      <c r="C17" s="283">
        <f t="shared" si="1"/>
        <v>1026137736.6590062</v>
      </c>
      <c r="D17" s="283">
        <f t="shared" si="1"/>
        <v>1060828011.2767463</v>
      </c>
      <c r="E17" s="283">
        <f t="shared" si="1"/>
        <v>921164301.3621279</v>
      </c>
      <c r="F17" s="283">
        <f t="shared" si="1"/>
        <v>879503173.7055626</v>
      </c>
      <c r="G17" s="283">
        <f t="shared" si="1"/>
        <v>816133141.1867735</v>
      </c>
      <c r="H17" s="283">
        <f t="shared" si="1"/>
        <v>845190865.1491841</v>
      </c>
      <c r="I17" s="283">
        <f t="shared" si="1"/>
        <v>844090332.334242</v>
      </c>
      <c r="J17" s="283">
        <f t="shared" si="1"/>
        <v>812901478.9414792</v>
      </c>
      <c r="K17" s="283">
        <f t="shared" si="1"/>
        <v>869497788.8950685</v>
      </c>
      <c r="L17" s="283">
        <f t="shared" si="1"/>
        <v>924914450.827926</v>
      </c>
      <c r="M17" s="283">
        <f t="shared" si="1"/>
        <v>1080152995.1258693</v>
      </c>
      <c r="N17" s="283">
        <f>SUM(B17:M17)</f>
        <v>11224853918.747458</v>
      </c>
    </row>
    <row r="18" spans="1:14" ht="12.75">
      <c r="A18" s="248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</row>
    <row r="19" spans="1:14" ht="12.75">
      <c r="A19" s="377" t="s">
        <v>96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</row>
    <row r="20" spans="1:14" ht="12.75">
      <c r="A20" s="378" t="s">
        <v>74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</row>
    <row r="21" spans="1:14" ht="12.75">
      <c r="A21" s="378" t="s">
        <v>171</v>
      </c>
      <c r="B21" s="304">
        <v>15498000</v>
      </c>
      <c r="C21" s="304">
        <v>12474000</v>
      </c>
      <c r="D21" s="304">
        <v>15498000</v>
      </c>
      <c r="E21" s="304">
        <v>14490000</v>
      </c>
      <c r="F21" s="304">
        <v>15498000</v>
      </c>
      <c r="G21" s="304">
        <v>14490000</v>
      </c>
      <c r="H21" s="304">
        <v>15498000</v>
      </c>
      <c r="I21" s="304">
        <v>15498000</v>
      </c>
      <c r="J21" s="304">
        <v>14490000</v>
      </c>
      <c r="K21" s="304">
        <v>15498000</v>
      </c>
      <c r="L21" s="304">
        <v>14490000</v>
      </c>
      <c r="M21" s="304">
        <v>15498000</v>
      </c>
      <c r="N21" s="304">
        <f>SUM(B21:M21)</f>
        <v>178920000</v>
      </c>
    </row>
    <row r="22" spans="1:14" ht="12.75">
      <c r="A22" s="379" t="s">
        <v>172</v>
      </c>
      <c r="B22" s="285">
        <v>0</v>
      </c>
      <c r="C22" s="285">
        <v>0</v>
      </c>
      <c r="D22" s="285">
        <v>0</v>
      </c>
      <c r="E22" s="285">
        <v>0</v>
      </c>
      <c r="F22" s="285">
        <v>0</v>
      </c>
      <c r="G22" s="285">
        <v>0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f>SUM(B22:M22)</f>
        <v>0</v>
      </c>
    </row>
    <row r="23" spans="1:14" ht="12.75">
      <c r="A23" s="235" t="s">
        <v>31</v>
      </c>
      <c r="B23" s="304">
        <v>356321</v>
      </c>
      <c r="C23" s="304">
        <v>-193257</v>
      </c>
      <c r="D23" s="304">
        <v>649878</v>
      </c>
      <c r="E23" s="304">
        <v>136169</v>
      </c>
      <c r="F23" s="304">
        <v>1246015</v>
      </c>
      <c r="G23" s="304">
        <v>-477223</v>
      </c>
      <c r="H23" s="304">
        <v>2468761</v>
      </c>
      <c r="I23" s="304">
        <v>541336</v>
      </c>
      <c r="J23" s="304">
        <v>2658531</v>
      </c>
      <c r="K23" s="304">
        <v>840566</v>
      </c>
      <c r="L23" s="304">
        <v>1055298</v>
      </c>
      <c r="M23" s="304">
        <v>1315545</v>
      </c>
      <c r="N23" s="304">
        <f>SUM(B23:M23)</f>
        <v>10597940</v>
      </c>
    </row>
    <row r="24" spans="1:14" ht="12.75">
      <c r="A24" s="235" t="s">
        <v>291</v>
      </c>
      <c r="B24" s="304">
        <v>15750000</v>
      </c>
      <c r="C24" s="304">
        <v>15750000</v>
      </c>
      <c r="D24" s="304">
        <v>15750000</v>
      </c>
      <c r="E24" s="304">
        <v>15750000</v>
      </c>
      <c r="F24" s="304">
        <v>15750000</v>
      </c>
      <c r="G24" s="304">
        <v>15750000</v>
      </c>
      <c r="H24" s="304">
        <v>15750000</v>
      </c>
      <c r="I24" s="304">
        <v>15750000</v>
      </c>
      <c r="J24" s="304">
        <v>15750000</v>
      </c>
      <c r="K24" s="304">
        <v>15750000</v>
      </c>
      <c r="L24" s="304">
        <v>15750000</v>
      </c>
      <c r="M24" s="304">
        <v>15750000</v>
      </c>
      <c r="N24" s="304">
        <f>SUM(B24:M24)</f>
        <v>189000000</v>
      </c>
    </row>
    <row r="25" spans="1:14" ht="12.75">
      <c r="A25" s="380" t="s">
        <v>140</v>
      </c>
      <c r="B25" s="281">
        <v>0</v>
      </c>
      <c r="C25" s="281">
        <v>0</v>
      </c>
      <c r="D25" s="281">
        <v>0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304">
        <f>SUM(B25:M25)</f>
        <v>0</v>
      </c>
    </row>
    <row r="26" spans="1:14" ht="12.75">
      <c r="A26" s="236" t="s">
        <v>99</v>
      </c>
      <c r="B26" s="283">
        <f>SUM(B21:B25)</f>
        <v>31604321</v>
      </c>
      <c r="C26" s="283">
        <f aca="true" t="shared" si="2" ref="C26:N26">SUM(C21:C25)</f>
        <v>28030743</v>
      </c>
      <c r="D26" s="283">
        <f t="shared" si="2"/>
        <v>31897878</v>
      </c>
      <c r="E26" s="283">
        <f t="shared" si="2"/>
        <v>30376169</v>
      </c>
      <c r="F26" s="283">
        <f t="shared" si="2"/>
        <v>32494015</v>
      </c>
      <c r="G26" s="283">
        <f t="shared" si="2"/>
        <v>29762777</v>
      </c>
      <c r="H26" s="283">
        <f t="shared" si="2"/>
        <v>33716761</v>
      </c>
      <c r="I26" s="283">
        <f t="shared" si="2"/>
        <v>31789336</v>
      </c>
      <c r="J26" s="283">
        <f t="shared" si="2"/>
        <v>32898531</v>
      </c>
      <c r="K26" s="283">
        <f t="shared" si="2"/>
        <v>32088566</v>
      </c>
      <c r="L26" s="283">
        <f t="shared" si="2"/>
        <v>31295298</v>
      </c>
      <c r="M26" s="283">
        <f t="shared" si="2"/>
        <v>32563545</v>
      </c>
      <c r="N26" s="283">
        <f t="shared" si="2"/>
        <v>378517940</v>
      </c>
    </row>
    <row r="27" spans="1:14" ht="12.75">
      <c r="A27" s="236"/>
      <c r="B27" s="304">
        <f>B17+B26</f>
        <v>1175943964.2834706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</row>
    <row r="28" spans="1:14" ht="12.75">
      <c r="A28" s="236" t="s">
        <v>142</v>
      </c>
      <c r="B28" s="283">
        <v>1280537728.2563913</v>
      </c>
      <c r="C28" s="283">
        <v>1145338738.7162302</v>
      </c>
      <c r="D28" s="283">
        <v>1176131487.4167137</v>
      </c>
      <c r="E28" s="283">
        <v>1014076564.0969028</v>
      </c>
      <c r="F28" s="283">
        <v>964794842.192264</v>
      </c>
      <c r="G28" s="283">
        <v>890966415.4457442</v>
      </c>
      <c r="H28" s="283">
        <v>928751399.796196</v>
      </c>
      <c r="I28" s="283">
        <v>925852495.9775631</v>
      </c>
      <c r="J28" s="283">
        <v>891823141.4273632</v>
      </c>
      <c r="K28" s="283">
        <v>956514103.644309</v>
      </c>
      <c r="L28" s="283">
        <v>1025497689.2201933</v>
      </c>
      <c r="M28" s="283">
        <v>1211432565.6856678</v>
      </c>
      <c r="N28" s="283">
        <f>SUM(B28:M28)</f>
        <v>12411717171.875538</v>
      </c>
    </row>
    <row r="29" spans="1:14" ht="12.75">
      <c r="A29" s="235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</row>
    <row r="30" spans="1:14" ht="12.75">
      <c r="A30" s="236" t="s">
        <v>97</v>
      </c>
      <c r="B30" s="305">
        <v>0</v>
      </c>
      <c r="C30" s="305">
        <v>2889000</v>
      </c>
      <c r="D30" s="305">
        <v>7740000</v>
      </c>
      <c r="E30" s="305">
        <v>4828000</v>
      </c>
      <c r="F30" s="305">
        <v>18401000</v>
      </c>
      <c r="G30" s="305">
        <v>24238000</v>
      </c>
      <c r="H30" s="305">
        <v>6761000</v>
      </c>
      <c r="I30" s="305">
        <v>7705000</v>
      </c>
      <c r="J30" s="305">
        <v>29088000</v>
      </c>
      <c r="K30" s="305">
        <v>33932000</v>
      </c>
      <c r="L30" s="305">
        <v>17429000</v>
      </c>
      <c r="M30" s="305">
        <v>4838000</v>
      </c>
      <c r="N30" s="283">
        <f>SUM(B30:M30)</f>
        <v>157849000</v>
      </c>
    </row>
    <row r="31" ht="12.75">
      <c r="A31" s="235"/>
    </row>
    <row r="32" spans="1:15" ht="12.75">
      <c r="A32" s="236" t="s">
        <v>292</v>
      </c>
      <c r="B32" s="283">
        <f>B28+B30</f>
        <v>1280537728.2563913</v>
      </c>
      <c r="C32" s="283">
        <f aca="true" t="shared" si="3" ref="C32:M32">C28+C30</f>
        <v>1148227738.7162302</v>
      </c>
      <c r="D32" s="283">
        <f t="shared" si="3"/>
        <v>1183871487.4167137</v>
      </c>
      <c r="E32" s="283">
        <f t="shared" si="3"/>
        <v>1018904564.0969028</v>
      </c>
      <c r="F32" s="283">
        <f t="shared" si="3"/>
        <v>983195842.192264</v>
      </c>
      <c r="G32" s="283">
        <f t="shared" si="3"/>
        <v>915204415.4457442</v>
      </c>
      <c r="H32" s="283">
        <f t="shared" si="3"/>
        <v>935512399.796196</v>
      </c>
      <c r="I32" s="283">
        <f t="shared" si="3"/>
        <v>933557495.9775631</v>
      </c>
      <c r="J32" s="283">
        <f t="shared" si="3"/>
        <v>920911141.4273632</v>
      </c>
      <c r="K32" s="283">
        <f t="shared" si="3"/>
        <v>990446103.644309</v>
      </c>
      <c r="L32" s="283">
        <f t="shared" si="3"/>
        <v>1042926689.2201933</v>
      </c>
      <c r="M32" s="283">
        <f t="shared" si="3"/>
        <v>1216270565.6856678</v>
      </c>
      <c r="N32" s="283">
        <f>SUM(B32:M32)</f>
        <v>12569566171.875538</v>
      </c>
      <c r="O32" s="282"/>
    </row>
    <row r="34" spans="1:14" ht="18">
      <c r="A34" s="303" t="s">
        <v>200</v>
      </c>
      <c r="N34" s="282"/>
    </row>
    <row r="35" ht="12.75">
      <c r="A35" s="306" t="s">
        <v>98</v>
      </c>
    </row>
    <row r="36" spans="1:14" ht="12.75">
      <c r="A36" s="251" t="s">
        <v>93</v>
      </c>
      <c r="B36" s="307">
        <v>554640127.3430732</v>
      </c>
      <c r="C36" s="307">
        <v>480758505.34474504</v>
      </c>
      <c r="D36" s="307">
        <v>475356065.5602902</v>
      </c>
      <c r="E36" s="307">
        <v>375264437.1089232</v>
      </c>
      <c r="F36" s="307">
        <v>336848804.5791105</v>
      </c>
      <c r="G36" s="307">
        <v>278008246.25926036</v>
      </c>
      <c r="H36" s="307">
        <v>282055742.4774372</v>
      </c>
      <c r="I36" s="307">
        <v>276243765.42642254</v>
      </c>
      <c r="J36" s="307">
        <v>275029901.5362338</v>
      </c>
      <c r="K36" s="307">
        <v>316895881.3290346</v>
      </c>
      <c r="L36" s="307">
        <v>371911104.5912228</v>
      </c>
      <c r="M36" s="307">
        <v>498299173.1008398</v>
      </c>
      <c r="N36" s="308">
        <f>SUM(B36:M36)</f>
        <v>4521311754.656593</v>
      </c>
    </row>
    <row r="37" spans="1:14" ht="12.75">
      <c r="A37" s="251" t="s">
        <v>94</v>
      </c>
      <c r="B37" s="307">
        <v>31742803.914579663</v>
      </c>
      <c r="C37" s="307">
        <v>26614732.695568375</v>
      </c>
      <c r="D37" s="307">
        <v>25784531.06440658</v>
      </c>
      <c r="E37" s="307">
        <v>20647063.46090691</v>
      </c>
      <c r="F37" s="307">
        <v>15114381.901574505</v>
      </c>
      <c r="G37" s="307">
        <v>9552141.870405303</v>
      </c>
      <c r="H37" s="307">
        <v>8280192.741875084</v>
      </c>
      <c r="I37" s="307">
        <v>7757045.099767656</v>
      </c>
      <c r="J37" s="307">
        <v>8566069.75179841</v>
      </c>
      <c r="K37" s="307">
        <v>12313389.123052323</v>
      </c>
      <c r="L37" s="307">
        <v>19105611.230419457</v>
      </c>
      <c r="M37" s="307">
        <v>33644282.53192444</v>
      </c>
      <c r="N37" s="309">
        <f aca="true" t="shared" si="4" ref="N37:N48">SUM(B37:M37)</f>
        <v>219122245.38627875</v>
      </c>
    </row>
    <row r="38" spans="1:14" ht="12.75">
      <c r="A38" s="251" t="s">
        <v>95</v>
      </c>
      <c r="B38" s="307">
        <v>586382931.2576529</v>
      </c>
      <c r="C38" s="307">
        <v>507373238.0403134</v>
      </c>
      <c r="D38" s="307">
        <v>501140596.6246968</v>
      </c>
      <c r="E38" s="307">
        <v>395911500.5698301</v>
      </c>
      <c r="F38" s="307">
        <v>351963186.480685</v>
      </c>
      <c r="G38" s="307">
        <v>287560388.1296657</v>
      </c>
      <c r="H38" s="307">
        <v>290335935.2193123</v>
      </c>
      <c r="I38" s="307">
        <v>284000810.5261902</v>
      </c>
      <c r="J38" s="307">
        <v>283595971.2880322</v>
      </c>
      <c r="K38" s="307">
        <v>329209270.4520869</v>
      </c>
      <c r="L38" s="307">
        <v>391016715.8216423</v>
      </c>
      <c r="M38" s="307">
        <v>531943455.6327642</v>
      </c>
      <c r="N38" s="308">
        <f t="shared" si="4"/>
        <v>4740434000.042871</v>
      </c>
    </row>
    <row r="39" spans="1:14" ht="12.75">
      <c r="A39" s="251" t="s">
        <v>46</v>
      </c>
      <c r="B39" s="307">
        <v>26292187.477158815</v>
      </c>
      <c r="C39" s="307">
        <v>24177991.74503244</v>
      </c>
      <c r="D39" s="307">
        <v>22964279.887267612</v>
      </c>
      <c r="E39" s="307">
        <v>19274779.74316669</v>
      </c>
      <c r="F39" s="307">
        <v>17446508.975773465</v>
      </c>
      <c r="G39" s="307">
        <v>16425887.997478133</v>
      </c>
      <c r="H39" s="307">
        <v>17130090.845774557</v>
      </c>
      <c r="I39" s="307">
        <v>17366336.08869968</v>
      </c>
      <c r="J39" s="307">
        <v>15524486.872478109</v>
      </c>
      <c r="K39" s="307">
        <v>17303246.1730844</v>
      </c>
      <c r="L39" s="307">
        <v>18436627.286674704</v>
      </c>
      <c r="M39" s="307">
        <v>23235156.520874728</v>
      </c>
      <c r="N39" s="308">
        <f t="shared" si="4"/>
        <v>235577579.6134633</v>
      </c>
    </row>
    <row r="40" spans="1:14" ht="12.75">
      <c r="A40" s="251" t="s">
        <v>47</v>
      </c>
      <c r="B40" s="307">
        <v>252437244.36886838</v>
      </c>
      <c r="C40" s="307">
        <v>236481583.2843514</v>
      </c>
      <c r="D40" s="307">
        <v>241468052.0379576</v>
      </c>
      <c r="E40" s="307">
        <v>206952494.40616986</v>
      </c>
      <c r="F40" s="307">
        <v>194352126.95236018</v>
      </c>
      <c r="G40" s="307">
        <v>195576035.1266854</v>
      </c>
      <c r="H40" s="307">
        <v>212917618.66576234</v>
      </c>
      <c r="I40" s="307">
        <v>206810592.0240171</v>
      </c>
      <c r="J40" s="307">
        <v>191346519.4146034</v>
      </c>
      <c r="K40" s="307">
        <v>201322160.10986257</v>
      </c>
      <c r="L40" s="307">
        <v>212251597.47633657</v>
      </c>
      <c r="M40" s="307">
        <v>242971137.87063345</v>
      </c>
      <c r="N40" s="308">
        <f t="shared" si="4"/>
        <v>2594887161.7376084</v>
      </c>
    </row>
    <row r="41" spans="1:14" ht="12.75">
      <c r="A41" s="251" t="s">
        <v>48</v>
      </c>
      <c r="B41" s="307">
        <v>36902441.5309864</v>
      </c>
      <c r="C41" s="307">
        <v>33874848.407015495</v>
      </c>
      <c r="D41" s="307">
        <v>36384665.3840056</v>
      </c>
      <c r="E41" s="307">
        <v>33165831.425662633</v>
      </c>
      <c r="F41" s="307">
        <v>33015278.26857203</v>
      </c>
      <c r="G41" s="307">
        <v>34989382.99320059</v>
      </c>
      <c r="H41" s="307">
        <v>38740707.534860045</v>
      </c>
      <c r="I41" s="307">
        <v>40457750.946346365</v>
      </c>
      <c r="J41" s="307">
        <v>35363033.91381004</v>
      </c>
      <c r="K41" s="307">
        <v>35001629.61781966</v>
      </c>
      <c r="L41" s="307">
        <v>34363109.460148886</v>
      </c>
      <c r="M41" s="307">
        <v>35367676.19736107</v>
      </c>
      <c r="N41" s="308">
        <f t="shared" si="4"/>
        <v>427626355.67978877</v>
      </c>
    </row>
    <row r="42" spans="1:14" ht="12.75">
      <c r="A42" s="251" t="s">
        <v>49</v>
      </c>
      <c r="B42" s="307">
        <v>22787734.44078514</v>
      </c>
      <c r="C42" s="307">
        <v>21840975.235342417</v>
      </c>
      <c r="D42" s="307">
        <v>21822066.312402617</v>
      </c>
      <c r="E42" s="307">
        <v>20740925.952687737</v>
      </c>
      <c r="F42" s="307">
        <v>20827191.59065824</v>
      </c>
      <c r="G42" s="307">
        <v>21744817.313209563</v>
      </c>
      <c r="H42" s="307">
        <v>22204714.246992726</v>
      </c>
      <c r="I42" s="307">
        <v>22192974.37755165</v>
      </c>
      <c r="J42" s="307">
        <v>20715082.35472109</v>
      </c>
      <c r="K42" s="307">
        <v>19138862.653590217</v>
      </c>
      <c r="L42" s="307">
        <v>21106822.824678946</v>
      </c>
      <c r="M42" s="307">
        <v>24417098.2779999</v>
      </c>
      <c r="N42" s="308">
        <f t="shared" si="4"/>
        <v>259539265.58062026</v>
      </c>
    </row>
    <row r="43" spans="1:14" ht="12.75">
      <c r="A43" s="251" t="s">
        <v>50</v>
      </c>
      <c r="B43" s="307">
        <v>40950930.236706324</v>
      </c>
      <c r="C43" s="307">
        <v>36929658.657144375</v>
      </c>
      <c r="D43" s="307">
        <v>39287775.82321711</v>
      </c>
      <c r="E43" s="307">
        <v>39036905.03013358</v>
      </c>
      <c r="F43" s="307">
        <v>38397110.59054866</v>
      </c>
      <c r="G43" s="307">
        <v>40148147.35456888</v>
      </c>
      <c r="H43" s="307">
        <v>40320066.37250238</v>
      </c>
      <c r="I43" s="307">
        <v>40467449.684763186</v>
      </c>
      <c r="J43" s="307">
        <v>39193702.277251326</v>
      </c>
      <c r="K43" s="307">
        <v>39819166.50011261</v>
      </c>
      <c r="L43" s="307">
        <v>39162253.92001837</v>
      </c>
      <c r="M43" s="307">
        <v>39797296.18234913</v>
      </c>
      <c r="N43" s="308">
        <f t="shared" si="4"/>
        <v>473510462.6293159</v>
      </c>
    </row>
    <row r="44" spans="1:14" ht="12.75">
      <c r="A44" s="251" t="s">
        <v>51</v>
      </c>
      <c r="B44" s="307">
        <v>78500601.42302263</v>
      </c>
      <c r="C44" s="307">
        <v>72316988.9813688</v>
      </c>
      <c r="D44" s="307">
        <v>81448698.94040906</v>
      </c>
      <c r="E44" s="307">
        <v>78969060.4626522</v>
      </c>
      <c r="F44" s="307">
        <v>83460595.36644244</v>
      </c>
      <c r="G44" s="307">
        <v>79426987.91569829</v>
      </c>
      <c r="H44" s="307">
        <v>81125090.59988092</v>
      </c>
      <c r="I44" s="307">
        <v>89200371.11980265</v>
      </c>
      <c r="J44" s="307">
        <v>85458661.3299972</v>
      </c>
      <c r="K44" s="307">
        <v>85798631.0043994</v>
      </c>
      <c r="L44" s="307">
        <v>84042486.84230907</v>
      </c>
      <c r="M44" s="307">
        <v>76329510.95506015</v>
      </c>
      <c r="N44" s="308">
        <f t="shared" si="4"/>
        <v>976077684.9410429</v>
      </c>
    </row>
    <row r="45" spans="1:14" ht="12.75">
      <c r="A45" s="251" t="s">
        <v>55</v>
      </c>
      <c r="B45" s="307">
        <v>168725113.02598774</v>
      </c>
      <c r="C45" s="307">
        <v>152397336.463816</v>
      </c>
      <c r="D45" s="307">
        <v>168456030.1868688</v>
      </c>
      <c r="E45" s="307">
        <v>163282917.04873627</v>
      </c>
      <c r="F45" s="307">
        <v>168726197.8757887</v>
      </c>
      <c r="G45" s="307">
        <v>163282942.4742074</v>
      </c>
      <c r="H45" s="307">
        <v>168725686.56389326</v>
      </c>
      <c r="I45" s="307">
        <v>168725574.8844892</v>
      </c>
      <c r="J45" s="307">
        <v>163282938.62400067</v>
      </c>
      <c r="K45" s="307">
        <v>168725270.52248392</v>
      </c>
      <c r="L45" s="307">
        <v>163552028.69997898</v>
      </c>
      <c r="M45" s="307">
        <v>168725850.652232</v>
      </c>
      <c r="N45" s="308">
        <f t="shared" si="4"/>
        <v>1986607887.0224829</v>
      </c>
    </row>
    <row r="46" spans="1:14" ht="12.75">
      <c r="A46" s="251" t="s">
        <v>52</v>
      </c>
      <c r="B46" s="307">
        <v>21930549.91255787</v>
      </c>
      <c r="C46" s="307">
        <v>20009293.2402962</v>
      </c>
      <c r="D46" s="307">
        <v>19493916.070583366</v>
      </c>
      <c r="E46" s="307">
        <v>16090605.724806791</v>
      </c>
      <c r="F46" s="307">
        <v>14750415.588258082</v>
      </c>
      <c r="G46" s="307">
        <v>13955369.16470835</v>
      </c>
      <c r="H46" s="307">
        <v>14924240.876436386</v>
      </c>
      <c r="I46" s="307">
        <v>15366222.911972119</v>
      </c>
      <c r="J46" s="307">
        <v>14385402.629174395</v>
      </c>
      <c r="K46" s="307">
        <v>17109545.654309593</v>
      </c>
      <c r="L46" s="307">
        <v>17403722.076793086</v>
      </c>
      <c r="M46" s="307">
        <v>21329118.13930908</v>
      </c>
      <c r="N46" s="308">
        <f t="shared" si="4"/>
        <v>206748401.9892053</v>
      </c>
    </row>
    <row r="47" spans="1:14" ht="12.75">
      <c r="A47" s="251" t="s">
        <v>53</v>
      </c>
      <c r="B47" s="307">
        <v>13377835.581481822</v>
      </c>
      <c r="C47" s="307">
        <v>11334601.96242627</v>
      </c>
      <c r="D47" s="307">
        <v>11116114.616302542</v>
      </c>
      <c r="E47" s="307">
        <v>9655587.0856933</v>
      </c>
      <c r="F47" s="307">
        <v>8697004.753967928</v>
      </c>
      <c r="G47" s="307">
        <v>7488604.970495089</v>
      </c>
      <c r="H47" s="307">
        <v>7915266.936407408</v>
      </c>
      <c r="I47" s="307">
        <v>8824807.695107741</v>
      </c>
      <c r="J47" s="307">
        <v>9379084.415250989</v>
      </c>
      <c r="K47" s="307">
        <v>10340923.349953415</v>
      </c>
      <c r="L47" s="307">
        <v>12225663.728659179</v>
      </c>
      <c r="M47" s="307">
        <v>14084580.551828032</v>
      </c>
      <c r="N47" s="309">
        <f t="shared" si="4"/>
        <v>124440075.64757371</v>
      </c>
    </row>
    <row r="48" spans="1:14" ht="12.75">
      <c r="A48" s="251" t="s">
        <v>44</v>
      </c>
      <c r="B48" s="282">
        <f aca="true" t="shared" si="5" ref="B48:M48">SUM(B38:B47)</f>
        <v>1248287569.2552083</v>
      </c>
      <c r="C48" s="282">
        <f t="shared" si="5"/>
        <v>1116736516.0171065</v>
      </c>
      <c r="D48" s="282">
        <f t="shared" si="5"/>
        <v>1143582195.8837109</v>
      </c>
      <c r="E48" s="282">
        <f t="shared" si="5"/>
        <v>983080607.4495392</v>
      </c>
      <c r="F48" s="282">
        <f t="shared" si="5"/>
        <v>931635616.4430544</v>
      </c>
      <c r="G48" s="282">
        <f t="shared" si="5"/>
        <v>860598563.4399174</v>
      </c>
      <c r="H48" s="282">
        <f t="shared" si="5"/>
        <v>894339417.8618221</v>
      </c>
      <c r="I48" s="282">
        <f t="shared" si="5"/>
        <v>893412890.25894</v>
      </c>
      <c r="J48" s="282">
        <f t="shared" si="5"/>
        <v>858244883.1193194</v>
      </c>
      <c r="K48" s="282">
        <f t="shared" si="5"/>
        <v>923768706.0377028</v>
      </c>
      <c r="L48" s="282">
        <f t="shared" si="5"/>
        <v>993561028.1372399</v>
      </c>
      <c r="M48" s="282">
        <f t="shared" si="5"/>
        <v>1178200880.980412</v>
      </c>
      <c r="N48" s="308">
        <f t="shared" si="4"/>
        <v>12025448874.883972</v>
      </c>
    </row>
    <row r="49" ht="12.75">
      <c r="N49" s="235"/>
    </row>
    <row r="50" spans="1:14" ht="12.75">
      <c r="A50" s="236" t="s">
        <v>96</v>
      </c>
      <c r="N50" s="235"/>
    </row>
    <row r="51" spans="1:14" ht="12.75">
      <c r="A51" s="378" t="s">
        <v>74</v>
      </c>
      <c r="N51" s="235"/>
    </row>
    <row r="52" spans="1:14" ht="12.75">
      <c r="A52" s="378" t="s">
        <v>171</v>
      </c>
      <c r="B52" s="307">
        <v>15814159.200000001</v>
      </c>
      <c r="C52" s="307">
        <v>12728469.600000001</v>
      </c>
      <c r="D52" s="307">
        <v>15814159.200000001</v>
      </c>
      <c r="E52" s="307">
        <v>14785596.000000002</v>
      </c>
      <c r="F52" s="307">
        <v>15814159.200000001</v>
      </c>
      <c r="G52" s="307">
        <v>14785596.000000002</v>
      </c>
      <c r="H52" s="307">
        <v>15814159.200000001</v>
      </c>
      <c r="I52" s="307">
        <v>15814159.200000001</v>
      </c>
      <c r="J52" s="307">
        <v>14785596.000000002</v>
      </c>
      <c r="K52" s="307">
        <v>15814159.200000001</v>
      </c>
      <c r="L52" s="307">
        <v>14785596.000000002</v>
      </c>
      <c r="M52" s="307">
        <v>15814159.200000001</v>
      </c>
      <c r="N52" s="308">
        <f aca="true" t="shared" si="6" ref="N52:N57">SUM(B52:M52)</f>
        <v>182569968</v>
      </c>
    </row>
    <row r="53" spans="1:14" ht="12.75">
      <c r="A53" s="378" t="s">
        <v>172</v>
      </c>
      <c r="B53" s="307">
        <v>0</v>
      </c>
      <c r="C53" s="307">
        <v>0</v>
      </c>
      <c r="D53" s="307">
        <v>0</v>
      </c>
      <c r="E53" s="307">
        <v>0</v>
      </c>
      <c r="F53" s="307">
        <v>0</v>
      </c>
      <c r="G53" s="307">
        <v>0</v>
      </c>
      <c r="H53" s="307">
        <v>0</v>
      </c>
      <c r="I53" s="307">
        <v>0</v>
      </c>
      <c r="J53" s="307">
        <v>0</v>
      </c>
      <c r="K53" s="307">
        <v>0</v>
      </c>
      <c r="L53" s="307">
        <v>0</v>
      </c>
      <c r="M53" s="307">
        <v>0</v>
      </c>
      <c r="N53" s="308">
        <f t="shared" si="6"/>
        <v>0</v>
      </c>
    </row>
    <row r="54" spans="1:14" ht="12.75">
      <c r="A54" s="235" t="s">
        <v>31</v>
      </c>
      <c r="B54" s="307">
        <v>364699.8011830996</v>
      </c>
      <c r="C54" s="307">
        <v>-197546.90087637652</v>
      </c>
      <c r="D54" s="307">
        <v>663832.3330027476</v>
      </c>
      <c r="E54" s="307">
        <v>139060.64736363714</v>
      </c>
      <c r="F54" s="307">
        <v>1273766.5492095589</v>
      </c>
      <c r="G54" s="307">
        <v>-489043.99417332135</v>
      </c>
      <c r="H54" s="307">
        <v>2526522.7343738303</v>
      </c>
      <c r="I54" s="307">
        <v>554146.5186231725</v>
      </c>
      <c r="J54" s="307">
        <v>2721362.3080437616</v>
      </c>
      <c r="K54" s="307">
        <v>859938.4066062882</v>
      </c>
      <c r="L54" s="307">
        <v>1079765.0829532691</v>
      </c>
      <c r="M54" s="307">
        <v>1346225.5052558405</v>
      </c>
      <c r="N54" s="308">
        <f t="shared" si="6"/>
        <v>10842728.991565507</v>
      </c>
    </row>
    <row r="55" spans="1:14" ht="12.75">
      <c r="A55" s="235" t="s">
        <v>30</v>
      </c>
      <c r="B55" s="307">
        <v>16071300.000000007</v>
      </c>
      <c r="C55" s="307">
        <v>16071300.000000007</v>
      </c>
      <c r="D55" s="307">
        <v>16071300.000000007</v>
      </c>
      <c r="E55" s="307">
        <v>16071300.000000007</v>
      </c>
      <c r="F55" s="307">
        <v>16071300.000000007</v>
      </c>
      <c r="G55" s="307">
        <v>16071300.000000007</v>
      </c>
      <c r="H55" s="307">
        <v>16071300.000000007</v>
      </c>
      <c r="I55" s="307">
        <v>16071300.000000007</v>
      </c>
      <c r="J55" s="307">
        <v>16071300.000000007</v>
      </c>
      <c r="K55" s="307">
        <v>16071300.000000007</v>
      </c>
      <c r="L55" s="307">
        <v>16071300.000000007</v>
      </c>
      <c r="M55" s="307">
        <v>16071300.000000007</v>
      </c>
      <c r="N55" s="308">
        <f t="shared" si="6"/>
        <v>192855600.00000003</v>
      </c>
    </row>
    <row r="56" spans="1:14" ht="12.75">
      <c r="A56" s="380" t="s">
        <v>140</v>
      </c>
      <c r="B56" s="307">
        <v>0</v>
      </c>
      <c r="C56" s="307">
        <v>0</v>
      </c>
      <c r="D56" s="307">
        <v>0</v>
      </c>
      <c r="E56" s="307">
        <v>0</v>
      </c>
      <c r="F56" s="307">
        <v>0</v>
      </c>
      <c r="G56" s="307">
        <v>0</v>
      </c>
      <c r="H56" s="307">
        <v>0</v>
      </c>
      <c r="I56" s="307">
        <v>0</v>
      </c>
      <c r="J56" s="307">
        <v>0</v>
      </c>
      <c r="K56" s="307">
        <v>0</v>
      </c>
      <c r="L56" s="307">
        <v>0</v>
      </c>
      <c r="M56" s="307">
        <v>0</v>
      </c>
      <c r="N56" s="308">
        <f t="shared" si="6"/>
        <v>0</v>
      </c>
    </row>
    <row r="57" spans="1:14" ht="12.75">
      <c r="A57" s="235" t="s">
        <v>44</v>
      </c>
      <c r="B57" s="282">
        <f aca="true" t="shared" si="7" ref="B57:M57">SUM(B52:B56)</f>
        <v>32250159.001183107</v>
      </c>
      <c r="C57" s="282">
        <f t="shared" si="7"/>
        <v>28602222.699123632</v>
      </c>
      <c r="D57" s="282">
        <f t="shared" si="7"/>
        <v>32549291.533002757</v>
      </c>
      <c r="E57" s="282">
        <f t="shared" si="7"/>
        <v>30995956.647363648</v>
      </c>
      <c r="F57" s="282">
        <f t="shared" si="7"/>
        <v>33159225.749209568</v>
      </c>
      <c r="G57" s="282">
        <f t="shared" si="7"/>
        <v>30367852.00582669</v>
      </c>
      <c r="H57" s="282">
        <f t="shared" si="7"/>
        <v>34411981.93437384</v>
      </c>
      <c r="I57" s="282">
        <f t="shared" si="7"/>
        <v>32439605.718623184</v>
      </c>
      <c r="J57" s="282">
        <f t="shared" si="7"/>
        <v>33578258.30804377</v>
      </c>
      <c r="K57" s="282">
        <f t="shared" si="7"/>
        <v>32745397.606606297</v>
      </c>
      <c r="L57" s="282">
        <f t="shared" si="7"/>
        <v>31936661.082953278</v>
      </c>
      <c r="M57" s="282">
        <f t="shared" si="7"/>
        <v>33231684.705255847</v>
      </c>
      <c r="N57" s="308">
        <f t="shared" si="6"/>
        <v>386268296.99156564</v>
      </c>
    </row>
    <row r="58" spans="1:14" ht="12.75">
      <c r="A58" s="235"/>
      <c r="N58" s="297"/>
    </row>
    <row r="59" spans="1:14" ht="12.75">
      <c r="A59" s="229" t="s">
        <v>142</v>
      </c>
      <c r="B59" s="282">
        <f>B48+B57</f>
        <v>1280537728.2563913</v>
      </c>
      <c r="C59" s="282">
        <f aca="true" t="shared" si="8" ref="C59:M59">C48+C57</f>
        <v>1145338738.7162302</v>
      </c>
      <c r="D59" s="282">
        <f t="shared" si="8"/>
        <v>1176131487.4167137</v>
      </c>
      <c r="E59" s="282">
        <f t="shared" si="8"/>
        <v>1014076564.0969028</v>
      </c>
      <c r="F59" s="282">
        <f t="shared" si="8"/>
        <v>964794842.192264</v>
      </c>
      <c r="G59" s="282">
        <f t="shared" si="8"/>
        <v>890966415.4457442</v>
      </c>
      <c r="H59" s="282">
        <f t="shared" si="8"/>
        <v>928751399.796196</v>
      </c>
      <c r="I59" s="282">
        <f t="shared" si="8"/>
        <v>925852495.9775631</v>
      </c>
      <c r="J59" s="282">
        <f t="shared" si="8"/>
        <v>891823141.4273632</v>
      </c>
      <c r="K59" s="282">
        <f t="shared" si="8"/>
        <v>956514103.644309</v>
      </c>
      <c r="L59" s="282">
        <f t="shared" si="8"/>
        <v>1025497689.2201933</v>
      </c>
      <c r="M59" s="282">
        <f t="shared" si="8"/>
        <v>1211432565.6856678</v>
      </c>
      <c r="N59" s="297">
        <f>SUM(B59:M59)</f>
        <v>12411717171.875538</v>
      </c>
    </row>
    <row r="60" ht="12.75">
      <c r="N60" s="297"/>
    </row>
    <row r="61" spans="1:14" ht="12.75">
      <c r="A61" s="236" t="s">
        <v>97</v>
      </c>
      <c r="B61" s="305">
        <v>0</v>
      </c>
      <c r="C61" s="305">
        <v>2978000</v>
      </c>
      <c r="D61" s="305">
        <v>7979000</v>
      </c>
      <c r="E61" s="305">
        <v>4977000</v>
      </c>
      <c r="F61" s="305">
        <v>18970000</v>
      </c>
      <c r="G61" s="305">
        <v>24988000</v>
      </c>
      <c r="H61" s="305">
        <v>6970000</v>
      </c>
      <c r="I61" s="305">
        <v>7943000</v>
      </c>
      <c r="J61" s="305">
        <v>29988000</v>
      </c>
      <c r="K61" s="305">
        <v>34981000</v>
      </c>
      <c r="L61" s="305">
        <v>17968000</v>
      </c>
      <c r="M61" s="305">
        <v>4988000</v>
      </c>
      <c r="N61" s="308">
        <f>SUM(B61:M61)</f>
        <v>162730000</v>
      </c>
    </row>
    <row r="62" spans="1:14" ht="12.75">
      <c r="A62" s="236" t="s">
        <v>142</v>
      </c>
      <c r="B62" s="310">
        <f>B59+B61</f>
        <v>1280537728.2563913</v>
      </c>
      <c r="C62" s="310">
        <f aca="true" t="shared" si="9" ref="C62:M62">C59+C61</f>
        <v>1148316738.7162302</v>
      </c>
      <c r="D62" s="310">
        <f t="shared" si="9"/>
        <v>1184110487.4167137</v>
      </c>
      <c r="E62" s="310">
        <f t="shared" si="9"/>
        <v>1019053564.0969028</v>
      </c>
      <c r="F62" s="310">
        <f t="shared" si="9"/>
        <v>983764842.192264</v>
      </c>
      <c r="G62" s="310">
        <f t="shared" si="9"/>
        <v>915954415.4457442</v>
      </c>
      <c r="H62" s="310">
        <f t="shared" si="9"/>
        <v>935721399.796196</v>
      </c>
      <c r="I62" s="310">
        <f t="shared" si="9"/>
        <v>933795495.9775631</v>
      </c>
      <c r="J62" s="310">
        <f t="shared" si="9"/>
        <v>921811141.4273632</v>
      </c>
      <c r="K62" s="310">
        <f t="shared" si="9"/>
        <v>991495103.644309</v>
      </c>
      <c r="L62" s="310">
        <f t="shared" si="9"/>
        <v>1043465689.2201933</v>
      </c>
      <c r="M62" s="310">
        <f t="shared" si="9"/>
        <v>1216420565.6856678</v>
      </c>
      <c r="N62" s="308">
        <f>SUM(B62:M62)</f>
        <v>12574447171.875538</v>
      </c>
    </row>
    <row r="63" spans="2:14" ht="12.75"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</row>
    <row r="64" spans="1:14" ht="12.75">
      <c r="A64" s="229" t="s">
        <v>292</v>
      </c>
      <c r="B64" s="278">
        <f>B59+B61</f>
        <v>1280537728.2563913</v>
      </c>
      <c r="C64" s="278">
        <f aca="true" t="shared" si="10" ref="C64:M64">C59+C61</f>
        <v>1148316738.7162302</v>
      </c>
      <c r="D64" s="278">
        <f t="shared" si="10"/>
        <v>1184110487.4167137</v>
      </c>
      <c r="E64" s="278">
        <f t="shared" si="10"/>
        <v>1019053564.0969028</v>
      </c>
      <c r="F64" s="278">
        <f t="shared" si="10"/>
        <v>983764842.192264</v>
      </c>
      <c r="G64" s="278">
        <f t="shared" si="10"/>
        <v>915954415.4457442</v>
      </c>
      <c r="H64" s="278">
        <f t="shared" si="10"/>
        <v>935721399.796196</v>
      </c>
      <c r="I64" s="278">
        <f t="shared" si="10"/>
        <v>933795495.9775631</v>
      </c>
      <c r="J64" s="278">
        <f t="shared" si="10"/>
        <v>921811141.4273632</v>
      </c>
      <c r="K64" s="278">
        <f t="shared" si="10"/>
        <v>991495103.644309</v>
      </c>
      <c r="L64" s="278">
        <f t="shared" si="10"/>
        <v>1043465689.2201933</v>
      </c>
      <c r="M64" s="278">
        <f t="shared" si="10"/>
        <v>1216420565.6856678</v>
      </c>
      <c r="N64" s="278">
        <f>SUM(B64:M64)</f>
        <v>12574447171.875538</v>
      </c>
    </row>
    <row r="66" ht="18">
      <c r="A66" s="303" t="s">
        <v>293</v>
      </c>
    </row>
    <row r="67" ht="12.75">
      <c r="A67" s="306" t="s">
        <v>98</v>
      </c>
    </row>
    <row r="68" spans="1:14" ht="12.75">
      <c r="A68" s="251" t="s">
        <v>93</v>
      </c>
      <c r="B68" s="288">
        <f aca="true" t="shared" si="11" ref="B68:B80">IF(B5=0,0,B36/B5-1)</f>
        <v>0.125577630534357</v>
      </c>
      <c r="C68" s="288">
        <f aca="true" t="shared" si="12" ref="C68:N68">IF(C5=0,0,C36/C5-1)</f>
        <v>0.12260785147028241</v>
      </c>
      <c r="D68" s="288">
        <f t="shared" si="12"/>
        <v>0.10724414782494773</v>
      </c>
      <c r="E68" s="288">
        <f t="shared" si="12"/>
        <v>0.09426667603603889</v>
      </c>
      <c r="F68" s="288">
        <f t="shared" si="12"/>
        <v>0.08313677775315598</v>
      </c>
      <c r="G68" s="288">
        <f t="shared" si="12"/>
        <v>0.0788235089224012</v>
      </c>
      <c r="H68" s="288">
        <f t="shared" si="12"/>
        <v>0.08283224319842653</v>
      </c>
      <c r="I68" s="288">
        <f t="shared" si="12"/>
        <v>0.08095745713662406</v>
      </c>
      <c r="J68" s="288">
        <f t="shared" si="12"/>
        <v>0.0784286328819499</v>
      </c>
      <c r="K68" s="288">
        <f t="shared" si="12"/>
        <v>0.0873677441974885</v>
      </c>
      <c r="L68" s="288">
        <f t="shared" si="12"/>
        <v>0.10462607944074631</v>
      </c>
      <c r="M68" s="288">
        <f t="shared" si="12"/>
        <v>0.13209410872585403</v>
      </c>
      <c r="N68" s="289">
        <f t="shared" si="12"/>
        <v>0.10241163760971594</v>
      </c>
    </row>
    <row r="69" spans="1:15" ht="12.75">
      <c r="A69" s="251" t="s">
        <v>94</v>
      </c>
      <c r="B69" s="290">
        <f t="shared" si="11"/>
        <v>0.14623935236977803</v>
      </c>
      <c r="C69" s="290">
        <f aca="true" t="shared" si="13" ref="C69:N69">IF(C6=0,0,C37/C6-1)</f>
        <v>0.13891529605390596</v>
      </c>
      <c r="D69" s="290">
        <f t="shared" si="13"/>
        <v>0.12456577733909602</v>
      </c>
      <c r="E69" s="290">
        <f t="shared" si="13"/>
        <v>0.10954488286536046</v>
      </c>
      <c r="F69" s="290">
        <f t="shared" si="13"/>
        <v>0.0772023516051561</v>
      </c>
      <c r="G69" s="290">
        <f t="shared" si="13"/>
        <v>0.07546303824178624</v>
      </c>
      <c r="H69" s="290">
        <f t="shared" si="13"/>
        <v>0.07821543379293239</v>
      </c>
      <c r="I69" s="290">
        <f t="shared" si="13"/>
        <v>0.08689116853049694</v>
      </c>
      <c r="J69" s="290">
        <f t="shared" si="13"/>
        <v>0.07634373485559642</v>
      </c>
      <c r="K69" s="290">
        <f t="shared" si="13"/>
        <v>0.09910978926854996</v>
      </c>
      <c r="L69" s="290">
        <f t="shared" si="13"/>
        <v>0.12012773153429968</v>
      </c>
      <c r="M69" s="290">
        <f t="shared" si="13"/>
        <v>0.14161252331609542</v>
      </c>
      <c r="N69" s="291">
        <f t="shared" si="13"/>
        <v>0.11787361397613982</v>
      </c>
      <c r="O69" s="294"/>
    </row>
    <row r="70" spans="1:15" ht="12.75">
      <c r="A70" s="251" t="s">
        <v>95</v>
      </c>
      <c r="B70" s="288">
        <f t="shared" si="11"/>
        <v>0.12667702767107425</v>
      </c>
      <c r="C70" s="288">
        <f aca="true" t="shared" si="14" ref="C70:N70">IF(C7=0,0,C38/C7-1)</f>
        <v>0.12345165906145339</v>
      </c>
      <c r="D70" s="288">
        <f t="shared" si="14"/>
        <v>0.10812234340290994</v>
      </c>
      <c r="E70" s="288">
        <f t="shared" si="14"/>
        <v>0.09505303861799064</v>
      </c>
      <c r="F70" s="288">
        <f t="shared" si="14"/>
        <v>0.08288059189202435</v>
      </c>
      <c r="G70" s="288">
        <f t="shared" si="14"/>
        <v>0.07871154408571002</v>
      </c>
      <c r="H70" s="288">
        <f t="shared" si="14"/>
        <v>0.08270002714076496</v>
      </c>
      <c r="I70" s="288">
        <f t="shared" si="14"/>
        <v>0.0811186665739172</v>
      </c>
      <c r="J70" s="288">
        <f t="shared" si="14"/>
        <v>0.07836553985239725</v>
      </c>
      <c r="K70" s="288">
        <f t="shared" si="14"/>
        <v>0.08780241276172807</v>
      </c>
      <c r="L70" s="288">
        <f t="shared" si="14"/>
        <v>0.10537353454354847</v>
      </c>
      <c r="M70" s="288">
        <f t="shared" si="14"/>
        <v>0.1326914235680141</v>
      </c>
      <c r="N70" s="289">
        <f t="shared" si="14"/>
        <v>0.10311691865229045</v>
      </c>
      <c r="O70" s="294"/>
    </row>
    <row r="71" spans="1:15" ht="12.75">
      <c r="A71" s="251" t="s">
        <v>46</v>
      </c>
      <c r="B71" s="288">
        <f t="shared" si="11"/>
        <v>0.1158314213882552</v>
      </c>
      <c r="C71" s="288">
        <f aca="true" t="shared" si="15" ref="C71:N71">IF(C8=0,0,C39/C8-1)</f>
        <v>0.11728723359251259</v>
      </c>
      <c r="D71" s="288">
        <f t="shared" si="15"/>
        <v>0.10807075175468484</v>
      </c>
      <c r="E71" s="288">
        <f t="shared" si="15"/>
        <v>0.0965935743135462</v>
      </c>
      <c r="F71" s="288">
        <f t="shared" si="15"/>
        <v>0.08321775151151334</v>
      </c>
      <c r="G71" s="288">
        <f t="shared" si="15"/>
        <v>0.0709559539311655</v>
      </c>
      <c r="H71" s="288">
        <f t="shared" si="15"/>
        <v>0.08373758438717482</v>
      </c>
      <c r="I71" s="288">
        <f t="shared" si="15"/>
        <v>0.09138511260853965</v>
      </c>
      <c r="J71" s="288">
        <f t="shared" si="15"/>
        <v>0.07759350940452636</v>
      </c>
      <c r="K71" s="288">
        <f t="shared" si="15"/>
        <v>0.07688202608508754</v>
      </c>
      <c r="L71" s="288">
        <f t="shared" si="15"/>
        <v>0.09612406962460063</v>
      </c>
      <c r="M71" s="288">
        <f t="shared" si="15"/>
        <v>0.1060294833328026</v>
      </c>
      <c r="N71" s="289">
        <f t="shared" si="15"/>
        <v>0.09586838878253068</v>
      </c>
      <c r="O71" s="294"/>
    </row>
    <row r="72" spans="1:15" ht="12.75">
      <c r="A72" s="251" t="s">
        <v>47</v>
      </c>
      <c r="B72" s="288">
        <f t="shared" si="11"/>
        <v>0.08112241729089908</v>
      </c>
      <c r="C72" s="288">
        <f aca="true" t="shared" si="16" ref="C72:N72">IF(C9=0,0,C40/C9-1)</f>
        <v>0.07985028128818272</v>
      </c>
      <c r="D72" s="288">
        <f t="shared" si="16"/>
        <v>0.07213181936030688</v>
      </c>
      <c r="E72" s="288">
        <f t="shared" si="16"/>
        <v>0.0619912403299292</v>
      </c>
      <c r="F72" s="288">
        <f t="shared" si="16"/>
        <v>0.057983809091026295</v>
      </c>
      <c r="G72" s="288">
        <f t="shared" si="16"/>
        <v>0.05285587551604087</v>
      </c>
      <c r="H72" s="288">
        <f t="shared" si="16"/>
        <v>0.05979307743496509</v>
      </c>
      <c r="I72" s="288">
        <f t="shared" si="16"/>
        <v>0.05866540805303089</v>
      </c>
      <c r="J72" s="288">
        <f t="shared" si="16"/>
        <v>0.05591971911129945</v>
      </c>
      <c r="K72" s="288">
        <f t="shared" si="16"/>
        <v>0.062239412981072606</v>
      </c>
      <c r="L72" s="288">
        <f t="shared" si="16"/>
        <v>0.07191979709011975</v>
      </c>
      <c r="M72" s="288">
        <f t="shared" si="16"/>
        <v>0.07612034014292246</v>
      </c>
      <c r="N72" s="289">
        <f t="shared" si="16"/>
        <v>0.06661153271759579</v>
      </c>
      <c r="O72" s="294"/>
    </row>
    <row r="73" spans="1:15" ht="12.75">
      <c r="A73" s="251" t="s">
        <v>48</v>
      </c>
      <c r="B73" s="288">
        <f t="shared" si="11"/>
        <v>0.07583060557556909</v>
      </c>
      <c r="C73" s="288">
        <f aca="true" t="shared" si="17" ref="C73:N73">IF(C10=0,0,C41/C10-1)</f>
        <v>0.07533170861755889</v>
      </c>
      <c r="D73" s="288">
        <f t="shared" si="17"/>
        <v>0.07066742636797096</v>
      </c>
      <c r="E73" s="288">
        <f t="shared" si="17"/>
        <v>0.06519714870405169</v>
      </c>
      <c r="F73" s="288">
        <f t="shared" si="17"/>
        <v>0.054201723180773875</v>
      </c>
      <c r="G73" s="288">
        <f t="shared" si="17"/>
        <v>0.05140499328246273</v>
      </c>
      <c r="H73" s="288">
        <f t="shared" si="17"/>
        <v>0.062031698385114575</v>
      </c>
      <c r="I73" s="288">
        <f t="shared" si="17"/>
        <v>0.07008950438727513</v>
      </c>
      <c r="J73" s="288">
        <f t="shared" si="17"/>
        <v>0.0566815358330055</v>
      </c>
      <c r="K73" s="288">
        <f t="shared" si="17"/>
        <v>0.07118095772977795</v>
      </c>
      <c r="L73" s="288">
        <f t="shared" si="17"/>
        <v>0.07750083212547287</v>
      </c>
      <c r="M73" s="288">
        <f t="shared" si="17"/>
        <v>0.07369585720174276</v>
      </c>
      <c r="N73" s="289">
        <f t="shared" si="17"/>
        <v>0.06699098738794884</v>
      </c>
      <c r="O73" s="294"/>
    </row>
    <row r="74" spans="1:15" ht="12.75">
      <c r="A74" s="251" t="s">
        <v>49</v>
      </c>
      <c r="B74" s="288">
        <f t="shared" si="11"/>
        <v>0.0680329374587012</v>
      </c>
      <c r="C74" s="288">
        <f aca="true" t="shared" si="18" ref="C74:N74">IF(C11=0,0,C42/C11-1)</f>
        <v>0.0677691337002535</v>
      </c>
      <c r="D74" s="288">
        <f t="shared" si="18"/>
        <v>0.06368587617621069</v>
      </c>
      <c r="E74" s="288">
        <f t="shared" si="18"/>
        <v>0.059687753294169976</v>
      </c>
      <c r="F74" s="288">
        <f t="shared" si="18"/>
        <v>0.05577251289267471</v>
      </c>
      <c r="G74" s="288">
        <f t="shared" si="18"/>
        <v>0.0558987291035864</v>
      </c>
      <c r="H74" s="288">
        <f t="shared" si="18"/>
        <v>0.06070979527425591</v>
      </c>
      <c r="I74" s="288">
        <f t="shared" si="18"/>
        <v>0.06214551792642009</v>
      </c>
      <c r="J74" s="288">
        <f t="shared" si="18"/>
        <v>0.06062458403497306</v>
      </c>
      <c r="K74" s="288">
        <f t="shared" si="18"/>
        <v>0.06397022199370617</v>
      </c>
      <c r="L74" s="288">
        <f t="shared" si="18"/>
        <v>0.06980551661737144</v>
      </c>
      <c r="M74" s="288">
        <f t="shared" si="18"/>
        <v>0.06717744341066822</v>
      </c>
      <c r="N74" s="289">
        <f t="shared" si="18"/>
        <v>0.06300192881964861</v>
      </c>
      <c r="O74" s="294"/>
    </row>
    <row r="75" spans="1:15" ht="12.75">
      <c r="A75" s="251" t="s">
        <v>50</v>
      </c>
      <c r="B75" s="288">
        <f t="shared" si="11"/>
        <v>0.06281302564206781</v>
      </c>
      <c r="C75" s="288">
        <f aca="true" t="shared" si="19" ref="C75:N75">IF(C12=0,0,C43/C12-1)</f>
        <v>0.062220496988982354</v>
      </c>
      <c r="D75" s="288">
        <f t="shared" si="19"/>
        <v>0.05891909425685404</v>
      </c>
      <c r="E75" s="288">
        <f t="shared" si="19"/>
        <v>0.05581597460716581</v>
      </c>
      <c r="F75" s="288">
        <f t="shared" si="19"/>
        <v>0.05100803715317315</v>
      </c>
      <c r="G75" s="288">
        <f t="shared" si="19"/>
        <v>0.04971507255669039</v>
      </c>
      <c r="H75" s="288">
        <f t="shared" si="19"/>
        <v>0.055179693124387086</v>
      </c>
      <c r="I75" s="288">
        <f t="shared" si="19"/>
        <v>0.057893659335901404</v>
      </c>
      <c r="J75" s="288">
        <f t="shared" si="19"/>
        <v>0.051941125139986166</v>
      </c>
      <c r="K75" s="288">
        <f t="shared" si="19"/>
        <v>0.05991548554726345</v>
      </c>
      <c r="L75" s="288">
        <f t="shared" si="19"/>
        <v>0.06443063411176642</v>
      </c>
      <c r="M75" s="288">
        <f t="shared" si="19"/>
        <v>0.06185677085775865</v>
      </c>
      <c r="N75" s="289">
        <f t="shared" si="19"/>
        <v>0.05761748098658104</v>
      </c>
      <c r="O75" s="294"/>
    </row>
    <row r="76" spans="1:15" ht="12.75">
      <c r="A76" s="251" t="s">
        <v>51</v>
      </c>
      <c r="B76" s="288">
        <f t="shared" si="11"/>
        <v>0.05040299106206647</v>
      </c>
      <c r="C76" s="288">
        <f aca="true" t="shared" si="20" ref="C76:N76">IF(C13=0,0,C44/C13-1)</f>
        <v>0.05021730663727553</v>
      </c>
      <c r="D76" s="288">
        <f t="shared" si="20"/>
        <v>0.0485331140744123</v>
      </c>
      <c r="E76" s="288">
        <f t="shared" si="20"/>
        <v>0.0466515774166385</v>
      </c>
      <c r="F76" s="288">
        <f t="shared" si="20"/>
        <v>0.04546386540071001</v>
      </c>
      <c r="G76" s="288">
        <f t="shared" si="20"/>
        <v>0.045103907422443745</v>
      </c>
      <c r="H76" s="288">
        <f t="shared" si="20"/>
        <v>0.045352769472924104</v>
      </c>
      <c r="I76" s="288">
        <f t="shared" si="20"/>
        <v>0.04857879694299205</v>
      </c>
      <c r="J76" s="288">
        <f t="shared" si="20"/>
        <v>0.049848827190827505</v>
      </c>
      <c r="K76" s="288">
        <f t="shared" si="20"/>
        <v>0.049500039939094576</v>
      </c>
      <c r="L76" s="288">
        <f t="shared" si="20"/>
        <v>0.0522617453407217</v>
      </c>
      <c r="M76" s="288">
        <f t="shared" si="20"/>
        <v>0.05003175974723639</v>
      </c>
      <c r="N76" s="289">
        <f t="shared" si="20"/>
        <v>0.04848808278365224</v>
      </c>
      <c r="O76" s="294"/>
    </row>
    <row r="77" spans="1:15" ht="12.75">
      <c r="A77" s="251" t="s">
        <v>55</v>
      </c>
      <c r="B77" s="288">
        <f t="shared" si="11"/>
        <v>0.02039643054221041</v>
      </c>
      <c r="C77" s="288">
        <f aca="true" t="shared" si="21" ref="C77:N77">IF(C14=0,0,C45/C14-1)</f>
        <v>0.02039951176254773</v>
      </c>
      <c r="D77" s="288">
        <f t="shared" si="21"/>
        <v>0.02039979163430461</v>
      </c>
      <c r="E77" s="288">
        <f t="shared" si="21"/>
        <v>0.02039986517024195</v>
      </c>
      <c r="F77" s="288">
        <f t="shared" si="21"/>
        <v>0.02040299137269197</v>
      </c>
      <c r="G77" s="288">
        <f t="shared" si="21"/>
        <v>0.020400024061005162</v>
      </c>
      <c r="H77" s="288">
        <f t="shared" si="21"/>
        <v>0.020399899119122766</v>
      </c>
      <c r="I77" s="288">
        <f t="shared" si="21"/>
        <v>0.02039922371720304</v>
      </c>
      <c r="J77" s="288">
        <f t="shared" si="21"/>
        <v>0.020400000000004193</v>
      </c>
      <c r="K77" s="288">
        <f t="shared" si="21"/>
        <v>0.020397383031496963</v>
      </c>
      <c r="L77" s="288">
        <f t="shared" si="21"/>
        <v>0.020396577404478977</v>
      </c>
      <c r="M77" s="288">
        <f t="shared" si="21"/>
        <v>0.02040089147380031</v>
      </c>
      <c r="N77" s="289">
        <f t="shared" si="21"/>
        <v>0.020399383854256437</v>
      </c>
      <c r="O77" s="294"/>
    </row>
    <row r="78" spans="1:15" ht="12.75">
      <c r="A78" s="251" t="s">
        <v>52</v>
      </c>
      <c r="B78" s="288">
        <f t="shared" si="11"/>
        <v>0.05165091170701186</v>
      </c>
      <c r="C78" s="288">
        <f aca="true" t="shared" si="22" ref="C78:N78">IF(C15=0,0,C46/C15-1)</f>
        <v>0.05123019100180404</v>
      </c>
      <c r="D78" s="288">
        <f t="shared" si="22"/>
        <v>0.052891285339145666</v>
      </c>
      <c r="E78" s="288">
        <f t="shared" si="22"/>
        <v>0.04885051022553788</v>
      </c>
      <c r="F78" s="288">
        <f t="shared" si="22"/>
        <v>0.05044734843969567</v>
      </c>
      <c r="G78" s="288">
        <f t="shared" si="22"/>
        <v>0.04593576085208939</v>
      </c>
      <c r="H78" s="288">
        <f t="shared" si="22"/>
        <v>0.03577225282337526</v>
      </c>
      <c r="I78" s="288">
        <f t="shared" si="22"/>
        <v>0.04251146010193585</v>
      </c>
      <c r="J78" s="288">
        <f t="shared" si="22"/>
        <v>0.034864777678559555</v>
      </c>
      <c r="K78" s="288">
        <f t="shared" si="22"/>
        <v>0.04154100206075162</v>
      </c>
      <c r="L78" s="288">
        <f t="shared" si="22"/>
        <v>0.04613004201752302</v>
      </c>
      <c r="M78" s="288">
        <f t="shared" si="22"/>
        <v>0.05973729220536361</v>
      </c>
      <c r="N78" s="289">
        <f t="shared" si="22"/>
        <v>0.04753080583403779</v>
      </c>
      <c r="O78" s="294"/>
    </row>
    <row r="79" spans="1:15" ht="12.75">
      <c r="A79" s="251" t="s">
        <v>53</v>
      </c>
      <c r="B79" s="290">
        <f t="shared" si="11"/>
        <v>0.1414693623394665</v>
      </c>
      <c r="C79" s="290">
        <f aca="true" t="shared" si="23" ref="C79:N79">IF(C16=0,0,C47/C16-1)</f>
        <v>0.14304646248175046</v>
      </c>
      <c r="D79" s="290">
        <f t="shared" si="23"/>
        <v>0.13941359461908065</v>
      </c>
      <c r="E79" s="290">
        <f t="shared" si="23"/>
        <v>0.11252460516824914</v>
      </c>
      <c r="F79" s="290">
        <f t="shared" si="23"/>
        <v>0.10543357683949695</v>
      </c>
      <c r="G79" s="290">
        <f t="shared" si="23"/>
        <v>0.07270880493493737</v>
      </c>
      <c r="H79" s="290">
        <f t="shared" si="23"/>
        <v>0.07981375709842564</v>
      </c>
      <c r="I79" s="290">
        <f t="shared" si="23"/>
        <v>0.10020281913857931</v>
      </c>
      <c r="J79" s="290">
        <f t="shared" si="23"/>
        <v>0.07570406683528441</v>
      </c>
      <c r="K79" s="290">
        <f t="shared" si="23"/>
        <v>0.08817523388898518</v>
      </c>
      <c r="L79" s="290">
        <f t="shared" si="23"/>
        <v>0.09727275275582903</v>
      </c>
      <c r="M79" s="290">
        <f t="shared" si="23"/>
        <v>0.1486360818355439</v>
      </c>
      <c r="N79" s="291">
        <f t="shared" si="23"/>
        <v>0.11209826916438126</v>
      </c>
      <c r="O79" s="294"/>
    </row>
    <row r="80" spans="1:15" ht="12.75">
      <c r="A80" s="251" t="s">
        <v>44</v>
      </c>
      <c r="B80" s="292">
        <f t="shared" si="11"/>
        <v>0.09083660308532027</v>
      </c>
      <c r="C80" s="292">
        <f aca="true" t="shared" si="24" ref="C80:N80">IF(C17=0,0,C48/C17-1)</f>
        <v>0.08829105111471702</v>
      </c>
      <c r="D80" s="292">
        <f t="shared" si="24"/>
        <v>0.07800904927780605</v>
      </c>
      <c r="E80" s="292">
        <f t="shared" si="24"/>
        <v>0.06721526875917294</v>
      </c>
      <c r="F80" s="292">
        <f t="shared" si="24"/>
        <v>0.05927487733539949</v>
      </c>
      <c r="G80" s="292">
        <f t="shared" si="24"/>
        <v>0.054483049405988915</v>
      </c>
      <c r="H80" s="292">
        <f t="shared" si="24"/>
        <v>0.05815083283461986</v>
      </c>
      <c r="I80" s="292">
        <f t="shared" si="24"/>
        <v>0.05843279567993842</v>
      </c>
      <c r="J80" s="292">
        <f t="shared" si="24"/>
        <v>0.05577970437067514</v>
      </c>
      <c r="K80" s="292">
        <f t="shared" si="24"/>
        <v>0.06241639465420623</v>
      </c>
      <c r="L80" s="292">
        <f t="shared" si="24"/>
        <v>0.07421938023334551</v>
      </c>
      <c r="M80" s="292">
        <f t="shared" si="24"/>
        <v>0.09077222050670453</v>
      </c>
      <c r="N80" s="292">
        <f t="shared" si="24"/>
        <v>0.07132341872168002</v>
      </c>
      <c r="O80" s="294"/>
    </row>
    <row r="81" spans="2:14" ht="12.75"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</row>
    <row r="82" spans="1:14" ht="12.75">
      <c r="A82" s="236" t="s">
        <v>96</v>
      </c>
      <c r="B82" s="289">
        <f aca="true" t="shared" si="25" ref="B82:N82">IF(B19=0,0,B50/B19-1)</f>
        <v>0</v>
      </c>
      <c r="C82" s="289">
        <f t="shared" si="25"/>
        <v>0</v>
      </c>
      <c r="D82" s="289">
        <f t="shared" si="25"/>
        <v>0</v>
      </c>
      <c r="E82" s="289">
        <f t="shared" si="25"/>
        <v>0</v>
      </c>
      <c r="F82" s="289">
        <f t="shared" si="25"/>
        <v>0</v>
      </c>
      <c r="G82" s="289">
        <f t="shared" si="25"/>
        <v>0</v>
      </c>
      <c r="H82" s="289">
        <f t="shared" si="25"/>
        <v>0</v>
      </c>
      <c r="I82" s="289">
        <f t="shared" si="25"/>
        <v>0</v>
      </c>
      <c r="J82" s="289">
        <f t="shared" si="25"/>
        <v>0</v>
      </c>
      <c r="K82" s="289">
        <f t="shared" si="25"/>
        <v>0</v>
      </c>
      <c r="L82" s="289">
        <f t="shared" si="25"/>
        <v>0</v>
      </c>
      <c r="M82" s="289">
        <f t="shared" si="25"/>
        <v>0</v>
      </c>
      <c r="N82" s="289">
        <f t="shared" si="25"/>
        <v>0</v>
      </c>
    </row>
    <row r="83" spans="1:14" ht="12.75">
      <c r="A83" s="378" t="s">
        <v>74</v>
      </c>
      <c r="B83" s="289">
        <f aca="true" t="shared" si="26" ref="B83:N83">IF(B20=0,0,B51/B20-1)</f>
        <v>0</v>
      </c>
      <c r="C83" s="289">
        <f t="shared" si="26"/>
        <v>0</v>
      </c>
      <c r="D83" s="289">
        <f t="shared" si="26"/>
        <v>0</v>
      </c>
      <c r="E83" s="289">
        <f t="shared" si="26"/>
        <v>0</v>
      </c>
      <c r="F83" s="289">
        <f t="shared" si="26"/>
        <v>0</v>
      </c>
      <c r="G83" s="289">
        <f t="shared" si="26"/>
        <v>0</v>
      </c>
      <c r="H83" s="289">
        <f t="shared" si="26"/>
        <v>0</v>
      </c>
      <c r="I83" s="289">
        <f t="shared" si="26"/>
        <v>0</v>
      </c>
      <c r="J83" s="289">
        <f t="shared" si="26"/>
        <v>0</v>
      </c>
      <c r="K83" s="289">
        <f t="shared" si="26"/>
        <v>0</v>
      </c>
      <c r="L83" s="289">
        <f t="shared" si="26"/>
        <v>0</v>
      </c>
      <c r="M83" s="289">
        <f t="shared" si="26"/>
        <v>0</v>
      </c>
      <c r="N83" s="289">
        <f t="shared" si="26"/>
        <v>0</v>
      </c>
    </row>
    <row r="84" spans="1:14" ht="12.75">
      <c r="A84" s="378" t="s">
        <v>171</v>
      </c>
      <c r="B84" s="289">
        <f aca="true" t="shared" si="27" ref="B84:N84">IF(B21=0,0,B52/B21-1)</f>
        <v>0.020399999999999974</v>
      </c>
      <c r="C84" s="289">
        <f t="shared" si="27"/>
        <v>0.020400000000000196</v>
      </c>
      <c r="D84" s="289">
        <f t="shared" si="27"/>
        <v>0.020399999999999974</v>
      </c>
      <c r="E84" s="289">
        <f t="shared" si="27"/>
        <v>0.020400000000000196</v>
      </c>
      <c r="F84" s="289">
        <f t="shared" si="27"/>
        <v>0.020399999999999974</v>
      </c>
      <c r="G84" s="289">
        <f t="shared" si="27"/>
        <v>0.020400000000000196</v>
      </c>
      <c r="H84" s="289">
        <f t="shared" si="27"/>
        <v>0.020399999999999974</v>
      </c>
      <c r="I84" s="289">
        <f t="shared" si="27"/>
        <v>0.020399999999999974</v>
      </c>
      <c r="J84" s="289">
        <f t="shared" si="27"/>
        <v>0.020400000000000196</v>
      </c>
      <c r="K84" s="289">
        <f t="shared" si="27"/>
        <v>0.020399999999999974</v>
      </c>
      <c r="L84" s="289">
        <f t="shared" si="27"/>
        <v>0.020400000000000196</v>
      </c>
      <c r="M84" s="289">
        <f t="shared" si="27"/>
        <v>0.020399999999999974</v>
      </c>
      <c r="N84" s="289">
        <f t="shared" si="27"/>
        <v>0.020399999999999974</v>
      </c>
    </row>
    <row r="85" spans="1:14" ht="12.75">
      <c r="A85" s="378" t="s">
        <v>172</v>
      </c>
      <c r="B85" s="293">
        <f aca="true" t="shared" si="28" ref="B85:N85">IF(B22=0,0,B53/B22-1)</f>
        <v>0</v>
      </c>
      <c r="C85" s="293">
        <f t="shared" si="28"/>
        <v>0</v>
      </c>
      <c r="D85" s="293">
        <f t="shared" si="28"/>
        <v>0</v>
      </c>
      <c r="E85" s="293">
        <f t="shared" si="28"/>
        <v>0</v>
      </c>
      <c r="F85" s="293">
        <f t="shared" si="28"/>
        <v>0</v>
      </c>
      <c r="G85" s="293">
        <f t="shared" si="28"/>
        <v>0</v>
      </c>
      <c r="H85" s="293">
        <f t="shared" si="28"/>
        <v>0</v>
      </c>
      <c r="I85" s="293">
        <f t="shared" si="28"/>
        <v>0</v>
      </c>
      <c r="J85" s="293">
        <f t="shared" si="28"/>
        <v>0</v>
      </c>
      <c r="K85" s="293">
        <f t="shared" si="28"/>
        <v>0</v>
      </c>
      <c r="L85" s="293">
        <f t="shared" si="28"/>
        <v>0</v>
      </c>
      <c r="M85" s="293">
        <f t="shared" si="28"/>
        <v>0</v>
      </c>
      <c r="N85" s="293">
        <f t="shared" si="28"/>
        <v>0</v>
      </c>
    </row>
    <row r="86" spans="1:14" ht="12.75">
      <c r="A86" s="235" t="s">
        <v>31</v>
      </c>
      <c r="B86" s="289">
        <f aca="true" t="shared" si="29" ref="B86:N86">IF(B23=0,0,B54/B23-1)</f>
        <v>0.02351475546796178</v>
      </c>
      <c r="C86" s="289">
        <f t="shared" si="29"/>
        <v>0.022197906809981127</v>
      </c>
      <c r="D86" s="289">
        <f t="shared" si="29"/>
        <v>0.02147223479291127</v>
      </c>
      <c r="E86" s="289">
        <f t="shared" si="29"/>
        <v>0.02123572445738109</v>
      </c>
      <c r="F86" s="289">
        <f t="shared" si="29"/>
        <v>0.022272243279221282</v>
      </c>
      <c r="G86" s="289">
        <f t="shared" si="29"/>
        <v>0.02477037815302552</v>
      </c>
      <c r="H86" s="289">
        <f t="shared" si="29"/>
        <v>0.023397053977209703</v>
      </c>
      <c r="I86" s="289">
        <f t="shared" si="29"/>
        <v>0.023664634576626264</v>
      </c>
      <c r="J86" s="289">
        <f t="shared" si="29"/>
        <v>0.023633844421510064</v>
      </c>
      <c r="K86" s="289">
        <f t="shared" si="29"/>
        <v>0.023046859623501392</v>
      </c>
      <c r="L86" s="289">
        <f t="shared" si="29"/>
        <v>0.023184998884930197</v>
      </c>
      <c r="M86" s="289">
        <f t="shared" si="29"/>
        <v>0.023321517132322</v>
      </c>
      <c r="N86" s="289">
        <f t="shared" si="29"/>
        <v>0.023097789906859845</v>
      </c>
    </row>
    <row r="87" spans="1:14" ht="12.75">
      <c r="A87" s="235" t="s">
        <v>30</v>
      </c>
      <c r="B87" s="289">
        <f aca="true" t="shared" si="30" ref="B87:N87">IF(B24=0,0,B55/B24-1)</f>
        <v>0.020400000000000418</v>
      </c>
      <c r="C87" s="289">
        <f t="shared" si="30"/>
        <v>0.020400000000000418</v>
      </c>
      <c r="D87" s="289">
        <f t="shared" si="30"/>
        <v>0.020400000000000418</v>
      </c>
      <c r="E87" s="289">
        <f t="shared" si="30"/>
        <v>0.020400000000000418</v>
      </c>
      <c r="F87" s="289">
        <f t="shared" si="30"/>
        <v>0.020400000000000418</v>
      </c>
      <c r="G87" s="289">
        <f t="shared" si="30"/>
        <v>0.020400000000000418</v>
      </c>
      <c r="H87" s="289">
        <f t="shared" si="30"/>
        <v>0.020400000000000418</v>
      </c>
      <c r="I87" s="289">
        <f t="shared" si="30"/>
        <v>0.020400000000000418</v>
      </c>
      <c r="J87" s="289">
        <f t="shared" si="30"/>
        <v>0.020400000000000418</v>
      </c>
      <c r="K87" s="289">
        <f t="shared" si="30"/>
        <v>0.020400000000000418</v>
      </c>
      <c r="L87" s="289">
        <f t="shared" si="30"/>
        <v>0.020400000000000418</v>
      </c>
      <c r="M87" s="289">
        <f t="shared" si="30"/>
        <v>0.020400000000000418</v>
      </c>
      <c r="N87" s="289">
        <f t="shared" si="30"/>
        <v>0.020400000000000196</v>
      </c>
    </row>
    <row r="88" spans="1:14" ht="12.75">
      <c r="A88" s="380" t="s">
        <v>140</v>
      </c>
      <c r="B88" s="291">
        <f aca="true" t="shared" si="31" ref="B88:N88">IF(B25=0,0,B56/B25-1)</f>
        <v>0</v>
      </c>
      <c r="C88" s="291">
        <f t="shared" si="31"/>
        <v>0</v>
      </c>
      <c r="D88" s="291">
        <f t="shared" si="31"/>
        <v>0</v>
      </c>
      <c r="E88" s="290">
        <f t="shared" si="31"/>
        <v>0</v>
      </c>
      <c r="F88" s="290">
        <f t="shared" si="31"/>
        <v>0</v>
      </c>
      <c r="G88" s="290">
        <f t="shared" si="31"/>
        <v>0</v>
      </c>
      <c r="H88" s="290">
        <f t="shared" si="31"/>
        <v>0</v>
      </c>
      <c r="I88" s="290">
        <f t="shared" si="31"/>
        <v>0</v>
      </c>
      <c r="J88" s="291">
        <f t="shared" si="31"/>
        <v>0</v>
      </c>
      <c r="K88" s="291">
        <f t="shared" si="31"/>
        <v>0</v>
      </c>
      <c r="L88" s="291">
        <f t="shared" si="31"/>
        <v>0</v>
      </c>
      <c r="M88" s="291">
        <f t="shared" si="31"/>
        <v>0</v>
      </c>
      <c r="N88" s="289">
        <f t="shared" si="31"/>
        <v>0</v>
      </c>
    </row>
    <row r="89" spans="1:14" ht="12.75">
      <c r="A89" s="235" t="s">
        <v>44</v>
      </c>
      <c r="B89" s="292">
        <f aca="true" t="shared" si="32" ref="B89:N89">IF(B26=0,0,B57/B26-1)</f>
        <v>0.02043511712158308</v>
      </c>
      <c r="C89" s="292">
        <f t="shared" si="32"/>
        <v>0.020387604392920755</v>
      </c>
      <c r="D89" s="292">
        <f t="shared" si="32"/>
        <v>0.020421845396824123</v>
      </c>
      <c r="E89" s="292">
        <f t="shared" si="32"/>
        <v>0.020403746350095897</v>
      </c>
      <c r="F89" s="292">
        <f t="shared" si="32"/>
        <v>0.020471793012022843</v>
      </c>
      <c r="G89" s="292">
        <f t="shared" si="32"/>
        <v>0.020329924382616937</v>
      </c>
      <c r="H89" s="292">
        <f t="shared" si="32"/>
        <v>0.020619446048623757</v>
      </c>
      <c r="I89" s="292">
        <f t="shared" si="32"/>
        <v>0.02045559298952271</v>
      </c>
      <c r="J89" s="292">
        <f t="shared" si="32"/>
        <v>0.020661327037482913</v>
      </c>
      <c r="K89" s="292">
        <f t="shared" si="32"/>
        <v>0.020469334983878484</v>
      </c>
      <c r="L89" s="292">
        <f t="shared" si="32"/>
        <v>0.02049391199129258</v>
      </c>
      <c r="M89" s="292">
        <f t="shared" si="32"/>
        <v>0.020518027298804364</v>
      </c>
      <c r="N89" s="292">
        <f t="shared" si="32"/>
        <v>0.020475534109600346</v>
      </c>
    </row>
    <row r="90" spans="2:14" ht="12.75"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</row>
    <row r="91" spans="1:14" ht="12.75">
      <c r="A91" s="229" t="s">
        <v>142</v>
      </c>
      <c r="B91" s="292">
        <f>IF(B28=0,0,B59/B28-1)</f>
        <v>0</v>
      </c>
      <c r="C91" s="292">
        <f aca="true" t="shared" si="33" ref="C91:N91">IF(C28=0,0,C59/C28-1)</f>
        <v>0</v>
      </c>
      <c r="D91" s="292">
        <f t="shared" si="33"/>
        <v>0</v>
      </c>
      <c r="E91" s="292">
        <f t="shared" si="33"/>
        <v>0</v>
      </c>
      <c r="F91" s="292">
        <f t="shared" si="33"/>
        <v>0</v>
      </c>
      <c r="G91" s="292">
        <f t="shared" si="33"/>
        <v>0</v>
      </c>
      <c r="H91" s="292">
        <f t="shared" si="33"/>
        <v>0</v>
      </c>
      <c r="I91" s="292">
        <f t="shared" si="33"/>
        <v>0</v>
      </c>
      <c r="J91" s="292">
        <f t="shared" si="33"/>
        <v>0</v>
      </c>
      <c r="K91" s="292">
        <f t="shared" si="33"/>
        <v>0</v>
      </c>
      <c r="L91" s="292">
        <f t="shared" si="33"/>
        <v>0</v>
      </c>
      <c r="M91" s="292">
        <f t="shared" si="33"/>
        <v>0</v>
      </c>
      <c r="N91" s="292">
        <f t="shared" si="33"/>
        <v>0</v>
      </c>
    </row>
    <row r="92" spans="2:14" ht="12.75"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</row>
    <row r="93" spans="1:14" ht="12.75">
      <c r="A93" s="236" t="s">
        <v>97</v>
      </c>
      <c r="B93" s="292">
        <f aca="true" t="shared" si="34" ref="B93:N93">IF(B30=0,0,B61/B30-1)</f>
        <v>0</v>
      </c>
      <c r="C93" s="292">
        <f t="shared" si="34"/>
        <v>0.030806507442021402</v>
      </c>
      <c r="D93" s="292">
        <f t="shared" si="34"/>
        <v>0.030878552971576267</v>
      </c>
      <c r="E93" s="292">
        <f t="shared" si="34"/>
        <v>0.03086164043082018</v>
      </c>
      <c r="F93" s="292">
        <f t="shared" si="34"/>
        <v>0.03092223248736481</v>
      </c>
      <c r="G93" s="292">
        <f t="shared" si="34"/>
        <v>0.0309431471243502</v>
      </c>
      <c r="H93" s="292">
        <f t="shared" si="34"/>
        <v>0.03091258689542964</v>
      </c>
      <c r="I93" s="292">
        <f t="shared" si="34"/>
        <v>0.030889033095392593</v>
      </c>
      <c r="J93" s="292">
        <f t="shared" si="34"/>
        <v>0.030940594059405857</v>
      </c>
      <c r="K93" s="292">
        <f t="shared" si="34"/>
        <v>0.030914770717906492</v>
      </c>
      <c r="L93" s="292">
        <f t="shared" si="34"/>
        <v>0.030925469045843146</v>
      </c>
      <c r="M93" s="292">
        <f>IF(M30=0,0,M61/M30-1)</f>
        <v>0.03100454733360891</v>
      </c>
      <c r="N93" s="292">
        <f t="shared" si="34"/>
        <v>0.030921957060228378</v>
      </c>
    </row>
    <row r="94" spans="2:14" ht="12.75"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</row>
    <row r="95" spans="1:14" ht="12.75">
      <c r="A95" s="229" t="s">
        <v>292</v>
      </c>
      <c r="B95" s="292">
        <f aca="true" t="shared" si="35" ref="B95:N95">IF(B32=0,0,B64/B32-1)</f>
        <v>0</v>
      </c>
      <c r="C95" s="292">
        <f t="shared" si="35"/>
        <v>7.751075592321577E-05</v>
      </c>
      <c r="D95" s="292">
        <f t="shared" si="35"/>
        <v>0.00020188002037402342</v>
      </c>
      <c r="E95" s="292">
        <f t="shared" si="35"/>
        <v>0.00014623548195813463</v>
      </c>
      <c r="F95" s="292">
        <f t="shared" si="35"/>
        <v>0.0005787249859918742</v>
      </c>
      <c r="G95" s="292">
        <f t="shared" si="35"/>
        <v>0.0008194890533113064</v>
      </c>
      <c r="H95" s="292">
        <f t="shared" si="35"/>
        <v>0.00022340698000955506</v>
      </c>
      <c r="I95" s="292">
        <f t="shared" si="35"/>
        <v>0.0002549387702690531</v>
      </c>
      <c r="J95" s="292">
        <f t="shared" si="35"/>
        <v>0.0009772929868185898</v>
      </c>
      <c r="K95" s="292">
        <f t="shared" si="35"/>
        <v>0.001059118710387441</v>
      </c>
      <c r="L95" s="292">
        <f t="shared" si="35"/>
        <v>0.0005168148495682257</v>
      </c>
      <c r="M95" s="292">
        <f t="shared" si="35"/>
        <v>0.0001233278221408618</v>
      </c>
      <c r="N95" s="292">
        <f t="shared" si="35"/>
        <v>0.0003883188913011981</v>
      </c>
    </row>
  </sheetData>
  <sheetProtection/>
  <printOptions/>
  <pageMargins left="0.7" right="0.7" top="0.75" bottom="0.75" header="0.3" footer="0.3"/>
  <pageSetup fitToHeight="2" horizontalDpi="600" verticalDpi="600" orientation="landscape" paperSize="17" scale="82" r:id="rId1"/>
  <rowBreaks count="1" manualBreakCount="1">
    <brk id="4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80"/>
  <sheetViews>
    <sheetView view="pageBreakPreview" zoomScale="60" zoomScaleNormal="70" zoomScalePageLayoutView="0" workbookViewId="0" topLeftCell="A1">
      <pane xSplit="2" ySplit="3" topLeftCell="C151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A163" sqref="A163:B169"/>
    </sheetView>
  </sheetViews>
  <sheetFormatPr defaultColWidth="9.140625" defaultRowHeight="12.75"/>
  <cols>
    <col min="1" max="1" width="49.28125" style="269" customWidth="1"/>
    <col min="2" max="3" width="18.28125" style="269" bestFit="1" customWidth="1"/>
    <col min="4" max="4" width="17.28125" style="269" bestFit="1" customWidth="1"/>
    <col min="5" max="5" width="18.421875" style="269" bestFit="1" customWidth="1"/>
    <col min="6" max="6" width="18.00390625" style="269" bestFit="1" customWidth="1"/>
    <col min="7" max="8" width="17.28125" style="269" bestFit="1" customWidth="1"/>
    <col min="9" max="10" width="17.7109375" style="269" bestFit="1" customWidth="1"/>
    <col min="11" max="11" width="16.57421875" style="269" bestFit="1" customWidth="1"/>
    <col min="12" max="12" width="17.00390625" style="269" bestFit="1" customWidth="1"/>
    <col min="13" max="13" width="17.28125" style="269" bestFit="1" customWidth="1"/>
    <col min="14" max="14" width="18.28125" style="269" bestFit="1" customWidth="1"/>
    <col min="15" max="15" width="17.28125" style="269" bestFit="1" customWidth="1"/>
    <col min="16" max="26" width="10.7109375" style="269" bestFit="1" customWidth="1"/>
    <col min="27" max="16384" width="9.140625" style="269" customWidth="1"/>
  </cols>
  <sheetData>
    <row r="1" spans="2:15" ht="12.75">
      <c r="B1" s="311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/>
    </row>
    <row r="2" spans="1:15" ht="12.75">
      <c r="A2" s="315"/>
      <c r="B2" s="315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/>
    </row>
    <row r="3" spans="1:15" ht="25.5" customHeight="1">
      <c r="A3" s="316" t="s">
        <v>87</v>
      </c>
      <c r="B3" s="317" t="s">
        <v>135</v>
      </c>
      <c r="C3" s="318" t="s">
        <v>75</v>
      </c>
      <c r="D3" s="318" t="s">
        <v>76</v>
      </c>
      <c r="E3" s="318" t="s">
        <v>77</v>
      </c>
      <c r="F3" s="318" t="s">
        <v>78</v>
      </c>
      <c r="G3" s="318" t="s">
        <v>79</v>
      </c>
      <c r="H3" s="318" t="s">
        <v>80</v>
      </c>
      <c r="I3" s="318" t="s">
        <v>81</v>
      </c>
      <c r="J3" s="318" t="s">
        <v>82</v>
      </c>
      <c r="K3" s="318" t="s">
        <v>83</v>
      </c>
      <c r="L3" s="318" t="s">
        <v>84</v>
      </c>
      <c r="M3" s="318" t="s">
        <v>85</v>
      </c>
      <c r="N3" s="318" t="s">
        <v>86</v>
      </c>
      <c r="O3" s="318" t="s">
        <v>129</v>
      </c>
    </row>
    <row r="4" spans="1:15" ht="12.75">
      <c r="A4" s="315" t="s">
        <v>134</v>
      </c>
      <c r="B4" s="315"/>
      <c r="C4" s="312">
        <v>65446927.2</v>
      </c>
      <c r="D4" s="312">
        <v>55406557.2</v>
      </c>
      <c r="E4" s="312">
        <v>48531144.99999999</v>
      </c>
      <c r="F4" s="312">
        <v>44174995.300000004</v>
      </c>
      <c r="G4" s="312">
        <v>39583691.5</v>
      </c>
      <c r="H4" s="312">
        <v>42628139.800000004</v>
      </c>
      <c r="I4" s="312">
        <v>42911403.4</v>
      </c>
      <c r="J4" s="312">
        <v>45275849.99398545</v>
      </c>
      <c r="K4" s="312">
        <v>37619132.931146376</v>
      </c>
      <c r="L4" s="312">
        <v>39900147.800000004</v>
      </c>
      <c r="M4" s="312">
        <v>41935536.08641198</v>
      </c>
      <c r="N4" s="312">
        <v>48911578.52078851</v>
      </c>
      <c r="O4" s="319">
        <f aca="true" t="shared" si="0" ref="O4:O10">SUM(C4:N4)</f>
        <v>552325104.7323323</v>
      </c>
    </row>
    <row r="5" spans="1:15" ht="12.75">
      <c r="A5" s="315" t="s">
        <v>102</v>
      </c>
      <c r="B5" s="315"/>
      <c r="C5" s="312">
        <v>8302348</v>
      </c>
      <c r="D5" s="312">
        <v>4307533</v>
      </c>
      <c r="E5" s="312">
        <v>1948549</v>
      </c>
      <c r="F5" s="312">
        <v>5342028</v>
      </c>
      <c r="G5" s="312">
        <v>5724746</v>
      </c>
      <c r="H5" s="312">
        <v>3570261</v>
      </c>
      <c r="I5" s="312">
        <v>2978014</v>
      </c>
      <c r="J5" s="312">
        <v>3471935</v>
      </c>
      <c r="K5" s="312">
        <f>4637437+1133459</f>
        <v>5770896</v>
      </c>
      <c r="L5" s="320">
        <v>2455576</v>
      </c>
      <c r="M5" s="312">
        <v>4318545</v>
      </c>
      <c r="N5" s="312">
        <v>6097997</v>
      </c>
      <c r="O5" s="313">
        <f t="shared" si="0"/>
        <v>54288428</v>
      </c>
    </row>
    <row r="6" spans="1:15" ht="12.75">
      <c r="A6" s="315" t="s">
        <v>103</v>
      </c>
      <c r="B6" s="315"/>
      <c r="C6" s="312">
        <f>3652733-740664.8</f>
        <v>2912068.2</v>
      </c>
      <c r="D6" s="312">
        <f>3276451-138937.8</f>
        <v>3137513.2</v>
      </c>
      <c r="E6" s="312">
        <f>5266596-910055</f>
        <v>4356541</v>
      </c>
      <c r="F6" s="312">
        <f>6466574-845634.7</f>
        <v>5620939.3</v>
      </c>
      <c r="G6" s="312">
        <f>3841862-700680.5</f>
        <v>3141181.5</v>
      </c>
      <c r="H6" s="312">
        <f>-1028514+4492513.8</f>
        <v>3463999.8</v>
      </c>
      <c r="I6" s="312">
        <f>3415744+191220.4</f>
        <v>3606964.4</v>
      </c>
      <c r="J6" s="312">
        <v>3131338</v>
      </c>
      <c r="K6" s="312">
        <f>3519310-1018373.07</f>
        <v>2500936.93</v>
      </c>
      <c r="L6" s="320">
        <v>4951746.8</v>
      </c>
      <c r="M6" s="312">
        <f>4388765+189924.09</f>
        <v>4578689.09</v>
      </c>
      <c r="N6" s="312">
        <f>4894255+189562</f>
        <v>5083817</v>
      </c>
      <c r="O6" s="313">
        <f t="shared" si="0"/>
        <v>46485735.22</v>
      </c>
    </row>
    <row r="7" spans="1:15" ht="12.75">
      <c r="A7" s="321" t="s">
        <v>27</v>
      </c>
      <c r="B7" s="321"/>
      <c r="C7" s="312">
        <v>9574</v>
      </c>
      <c r="D7" s="322">
        <v>1908</v>
      </c>
      <c r="E7" s="322">
        <v>34594</v>
      </c>
      <c r="F7" s="322">
        <v>1522</v>
      </c>
      <c r="G7" s="322">
        <v>6291</v>
      </c>
      <c r="H7" s="322">
        <v>143</v>
      </c>
      <c r="I7" s="322">
        <v>119472</v>
      </c>
      <c r="J7" s="322">
        <v>107832</v>
      </c>
      <c r="K7" s="322">
        <v>8262</v>
      </c>
      <c r="L7" s="322">
        <v>32836</v>
      </c>
      <c r="M7" s="322">
        <v>1269760</v>
      </c>
      <c r="N7" s="322">
        <v>-488</v>
      </c>
      <c r="O7" s="313">
        <f>SUM(C7:N7)</f>
        <v>1591706</v>
      </c>
    </row>
    <row r="8" spans="1:15" ht="12.75">
      <c r="A8" s="315" t="s">
        <v>108</v>
      </c>
      <c r="B8" s="315"/>
      <c r="C8" s="312">
        <v>9056.36802649504</v>
      </c>
      <c r="D8" s="312">
        <v>9056.36802649504</v>
      </c>
      <c r="E8" s="312">
        <v>9056.36802649504</v>
      </c>
      <c r="F8" s="312">
        <v>9056.36802649504</v>
      </c>
      <c r="G8" s="312">
        <v>9056.36802649504</v>
      </c>
      <c r="H8" s="312">
        <v>9396.60858641477</v>
      </c>
      <c r="I8" s="312">
        <v>9396.60858641477</v>
      </c>
      <c r="J8" s="312">
        <v>9396.60858641477</v>
      </c>
      <c r="K8" s="312">
        <v>9927.02571193174</v>
      </c>
      <c r="L8" s="312">
        <v>9927.02571193174</v>
      </c>
      <c r="M8" s="312">
        <v>9128.713913972733</v>
      </c>
      <c r="N8" s="312">
        <v>9128.713913972733</v>
      </c>
      <c r="O8" s="313">
        <f t="shared" si="0"/>
        <v>111583.14514352845</v>
      </c>
    </row>
    <row r="9" spans="1:15" ht="12.75">
      <c r="A9" s="315" t="s">
        <v>138</v>
      </c>
      <c r="B9" s="315"/>
      <c r="C9" s="312">
        <v>-183333.333333333</v>
      </c>
      <c r="D9" s="312">
        <v>-183333.333333333</v>
      </c>
      <c r="E9" s="312">
        <v>-183333.333333333</v>
      </c>
      <c r="F9" s="312">
        <v>-183333.333333333</v>
      </c>
      <c r="G9" s="312">
        <v>-183333.333333333</v>
      </c>
      <c r="H9" s="312">
        <v>-183333.333333333</v>
      </c>
      <c r="I9" s="312">
        <v>-183333.333333333</v>
      </c>
      <c r="J9" s="312">
        <v>-183333.333333333</v>
      </c>
      <c r="K9" s="312">
        <v>-183333.333333333</v>
      </c>
      <c r="L9" s="312">
        <v>-183333.333333333</v>
      </c>
      <c r="M9" s="312">
        <v>-183333.33333333334</v>
      </c>
      <c r="N9" s="312">
        <v>-183333.33333333334</v>
      </c>
      <c r="O9" s="313">
        <f t="shared" si="0"/>
        <v>-2199999.9999999967</v>
      </c>
    </row>
    <row r="10" spans="1:15" ht="12.75">
      <c r="A10" s="315" t="s">
        <v>139</v>
      </c>
      <c r="B10" s="315"/>
      <c r="C10" s="323">
        <v>-22380.469999999703</v>
      </c>
      <c r="D10" s="323">
        <v>15899.3700000012</v>
      </c>
      <c r="E10" s="323">
        <v>1285756.3299999998</v>
      </c>
      <c r="F10" s="323">
        <v>-251420.62</v>
      </c>
      <c r="G10" s="323">
        <v>5908.57999999547</v>
      </c>
      <c r="H10" s="323">
        <v>1698676.02</v>
      </c>
      <c r="I10" s="323">
        <v>724148.94</v>
      </c>
      <c r="J10" s="323">
        <v>-88377.2400000004</v>
      </c>
      <c r="K10" s="323">
        <v>931543.91</v>
      </c>
      <c r="L10" s="323">
        <v>-16292.51</v>
      </c>
      <c r="M10" s="323">
        <v>0</v>
      </c>
      <c r="N10" s="323">
        <v>864577.8115483327</v>
      </c>
      <c r="O10" s="313">
        <f t="shared" si="0"/>
        <v>5148040.1215483295</v>
      </c>
    </row>
    <row r="11" spans="3:14" ht="12.75"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</row>
    <row r="12" spans="1:14" ht="12.75">
      <c r="A12" s="314" t="s">
        <v>89</v>
      </c>
      <c r="B12" s="314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</row>
    <row r="13" spans="1:15" ht="12.75">
      <c r="A13" s="269" t="s">
        <v>249</v>
      </c>
      <c r="C13" s="313">
        <v>-45481.0120055</v>
      </c>
      <c r="D13" s="313">
        <v>-16454.805050000003</v>
      </c>
      <c r="E13" s="313">
        <v>-10800.752049999997</v>
      </c>
      <c r="F13" s="313">
        <v>8563.808599999997</v>
      </c>
      <c r="G13" s="313">
        <v>111978.6019155</v>
      </c>
      <c r="H13" s="313">
        <v>-1839.7458490000026</v>
      </c>
      <c r="I13" s="313">
        <v>127757.98255000004</v>
      </c>
      <c r="J13" s="313">
        <v>94484.20087649999</v>
      </c>
      <c r="K13" s="313">
        <v>38163.01855</v>
      </c>
      <c r="L13" s="313">
        <v>148257.08999</v>
      </c>
      <c r="M13" s="313">
        <v>81885.7802250471</v>
      </c>
      <c r="N13" s="313">
        <v>14018.63825748</v>
      </c>
      <c r="O13" s="313">
        <f>SUM(C13:N13)</f>
        <v>550532.8060100271</v>
      </c>
    </row>
    <row r="14" spans="1:15" ht="12.75">
      <c r="A14" s="269" t="s">
        <v>290</v>
      </c>
      <c r="C14" s="313">
        <v>138.52799449999986</v>
      </c>
      <c r="D14" s="313">
        <v>5.30495</v>
      </c>
      <c r="E14" s="313">
        <v>33.087950000000006</v>
      </c>
      <c r="F14" s="313">
        <v>148.11860000000001</v>
      </c>
      <c r="G14" s="313">
        <v>718.6719155000001</v>
      </c>
      <c r="H14" s="313">
        <v>112.91415100000012</v>
      </c>
      <c r="I14" s="313">
        <v>794.39255</v>
      </c>
      <c r="J14" s="313">
        <v>615.4108765</v>
      </c>
      <c r="K14" s="313">
        <v>292.05855</v>
      </c>
      <c r="L14" s="313">
        <v>1038.50999</v>
      </c>
      <c r="M14" s="313">
        <v>457.69759350000004</v>
      </c>
      <c r="N14" s="313">
        <v>108.8283</v>
      </c>
      <c r="O14" s="313">
        <f>SUM(C14:N14)</f>
        <v>4463.523421000001</v>
      </c>
    </row>
    <row r="15" spans="1:15" ht="12.75">
      <c r="A15" s="269" t="s">
        <v>187</v>
      </c>
      <c r="C15" s="313">
        <v>1978.9713499999978</v>
      </c>
      <c r="D15" s="313">
        <v>75.785</v>
      </c>
      <c r="E15" s="313">
        <v>472.685</v>
      </c>
      <c r="F15" s="313">
        <v>2115.9800000000005</v>
      </c>
      <c r="G15" s="313">
        <v>10266.74165</v>
      </c>
      <c r="H15" s="313">
        <v>1613.0593000000017</v>
      </c>
      <c r="I15" s="313">
        <v>11348.465</v>
      </c>
      <c r="J15" s="313">
        <v>8791.58395</v>
      </c>
      <c r="K15" s="313">
        <v>4172.264999999999</v>
      </c>
      <c r="L15" s="313">
        <v>14835.857000000002</v>
      </c>
      <c r="M15" s="313">
        <v>6538.537050000001</v>
      </c>
      <c r="N15" s="313">
        <v>1554.69</v>
      </c>
      <c r="O15" s="313">
        <f>SUM(C15:N15)</f>
        <v>63764.62030000001</v>
      </c>
    </row>
    <row r="16" spans="1:15" ht="12.75">
      <c r="A16" s="269" t="s">
        <v>250</v>
      </c>
      <c r="B16" s="314">
        <f>0.06226-0.005</f>
        <v>0.057260000000000005</v>
      </c>
      <c r="C16" s="313">
        <f>C38*$B$16</f>
        <v>887415.4800000001</v>
      </c>
      <c r="D16" s="313">
        <f aca="true" t="shared" si="1" ref="D16:N16">D38*$B$16</f>
        <v>714261.2400000001</v>
      </c>
      <c r="E16" s="313">
        <f t="shared" si="1"/>
        <v>885010.56</v>
      </c>
      <c r="F16" s="313">
        <f t="shared" si="1"/>
        <v>829697.4</v>
      </c>
      <c r="G16" s="313">
        <f t="shared" si="1"/>
        <v>887415.4800000001</v>
      </c>
      <c r="H16" s="313">
        <f t="shared" si="1"/>
        <v>829697.4</v>
      </c>
      <c r="I16" s="313">
        <f t="shared" si="1"/>
        <v>887415.4800000001</v>
      </c>
      <c r="J16" s="313">
        <f t="shared" si="1"/>
        <v>887415.4800000001</v>
      </c>
      <c r="K16" s="313">
        <f t="shared" si="1"/>
        <v>829697.4</v>
      </c>
      <c r="L16" s="313">
        <f t="shared" si="1"/>
        <v>887415.4800000001</v>
      </c>
      <c r="M16" s="313">
        <f t="shared" si="1"/>
        <v>829697.4</v>
      </c>
      <c r="N16" s="313">
        <f t="shared" si="1"/>
        <v>887415.4800000001</v>
      </c>
      <c r="O16" s="313">
        <f>SUM(C16:N16)</f>
        <v>10242554.280000003</v>
      </c>
    </row>
    <row r="17" spans="1:15" ht="12.75">
      <c r="A17" s="269" t="s">
        <v>289</v>
      </c>
      <c r="C17" s="313">
        <f>C13-C14-C15</f>
        <v>-47598.51135</v>
      </c>
      <c r="D17" s="313">
        <f aca="true" t="shared" si="2" ref="D17:N17">D13-D14-D15</f>
        <v>-16535.895000000004</v>
      </c>
      <c r="E17" s="313">
        <f t="shared" si="2"/>
        <v>-11306.524999999996</v>
      </c>
      <c r="F17" s="313">
        <f t="shared" si="2"/>
        <v>6299.709999999996</v>
      </c>
      <c r="G17" s="313">
        <f t="shared" si="2"/>
        <v>100993.18835</v>
      </c>
      <c r="H17" s="313">
        <f t="shared" si="2"/>
        <v>-3565.7193000000043</v>
      </c>
      <c r="I17" s="313">
        <f t="shared" si="2"/>
        <v>115615.12500000004</v>
      </c>
      <c r="J17" s="313">
        <f t="shared" si="2"/>
        <v>85077.20605</v>
      </c>
      <c r="K17" s="313">
        <f t="shared" si="2"/>
        <v>33698.695</v>
      </c>
      <c r="L17" s="313">
        <f t="shared" si="2"/>
        <v>132382.72300000003</v>
      </c>
      <c r="M17" s="313">
        <f t="shared" si="2"/>
        <v>74889.5455815471</v>
      </c>
      <c r="N17" s="313">
        <f t="shared" si="2"/>
        <v>12355.119957480001</v>
      </c>
      <c r="O17" s="313">
        <f>SUM(C17:N17)</f>
        <v>482304.6622890271</v>
      </c>
    </row>
    <row r="18" spans="3:15" ht="12.75">
      <c r="C18" s="313">
        <f>C16+C17</f>
        <v>839816.96865</v>
      </c>
      <c r="D18" s="313">
        <f aca="true" t="shared" si="3" ref="D18:O18">D16+D17</f>
        <v>697725.3450000001</v>
      </c>
      <c r="E18" s="313">
        <f t="shared" si="3"/>
        <v>873704.035</v>
      </c>
      <c r="F18" s="313">
        <f t="shared" si="3"/>
        <v>835997.11</v>
      </c>
      <c r="G18" s="313">
        <f t="shared" si="3"/>
        <v>988408.66835</v>
      </c>
      <c r="H18" s="313">
        <f t="shared" si="3"/>
        <v>826131.6807</v>
      </c>
      <c r="I18" s="313">
        <f t="shared" si="3"/>
        <v>1003030.6050000001</v>
      </c>
      <c r="J18" s="313">
        <f t="shared" si="3"/>
        <v>972492.6860500001</v>
      </c>
      <c r="K18" s="313">
        <f t="shared" si="3"/>
        <v>863396.095</v>
      </c>
      <c r="L18" s="313">
        <f t="shared" si="3"/>
        <v>1019798.2030000001</v>
      </c>
      <c r="M18" s="313">
        <f t="shared" si="3"/>
        <v>904586.9455815471</v>
      </c>
      <c r="N18" s="313">
        <f t="shared" si="3"/>
        <v>899770.5999574801</v>
      </c>
      <c r="O18" s="313">
        <f t="shared" si="3"/>
        <v>10724858.94228903</v>
      </c>
    </row>
    <row r="19" spans="1:15" ht="12.75">
      <c r="A19" s="314" t="s">
        <v>88</v>
      </c>
      <c r="B19" s="31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3"/>
    </row>
    <row r="20" spans="1:2" ht="12.75">
      <c r="A20" s="314" t="s">
        <v>39</v>
      </c>
      <c r="B20" s="314"/>
    </row>
    <row r="21" spans="1:15" ht="12.75">
      <c r="A21" s="325" t="s">
        <v>93</v>
      </c>
      <c r="B21" s="325"/>
      <c r="C21" s="231">
        <v>491597341.0000003</v>
      </c>
      <c r="D21" s="231">
        <v>447237069.00000006</v>
      </c>
      <c r="E21" s="231">
        <v>434583594.0663284</v>
      </c>
      <c r="F21" s="231">
        <v>342830712.6770455</v>
      </c>
      <c r="G21" s="231">
        <v>317944762.7246134</v>
      </c>
      <c r="H21" s="231">
        <v>262374957.66969824</v>
      </c>
      <c r="I21" s="231">
        <v>255826504.48412168</v>
      </c>
      <c r="J21" s="231">
        <v>256068467.12117815</v>
      </c>
      <c r="K21" s="231">
        <v>257225936.05937248</v>
      </c>
      <c r="L21" s="231">
        <v>285773310.01161015</v>
      </c>
      <c r="M21" s="231">
        <v>331972814.517241</v>
      </c>
      <c r="N21" s="231">
        <v>433996239.6558744</v>
      </c>
      <c r="O21" s="326">
        <f aca="true" t="shared" si="4" ref="O21:O32">SUM(C21:N21)</f>
        <v>4117431708.9870834</v>
      </c>
    </row>
    <row r="22" spans="1:15" ht="12.75">
      <c r="A22" s="325" t="s">
        <v>94</v>
      </c>
      <c r="B22" s="325"/>
      <c r="C22" s="231">
        <v>24531972.844606645</v>
      </c>
      <c r="D22" s="231">
        <v>23582348.746298164</v>
      </c>
      <c r="E22" s="231">
        <v>23542204.07721302</v>
      </c>
      <c r="F22" s="231">
        <v>19053331.20291841</v>
      </c>
      <c r="G22" s="231">
        <v>13564359.01430652</v>
      </c>
      <c r="H22" s="231">
        <v>9141075.003010314</v>
      </c>
      <c r="I22" s="231">
        <v>7263772.667569518</v>
      </c>
      <c r="J22" s="231">
        <v>7441492.09589796</v>
      </c>
      <c r="K22" s="231">
        <v>8327371.07233436</v>
      </c>
      <c r="L22" s="231">
        <v>11226696.750063414</v>
      </c>
      <c r="M22" s="231">
        <v>17098145.917758435</v>
      </c>
      <c r="N22" s="231">
        <v>29542563.608520996</v>
      </c>
      <c r="O22" s="326">
        <f t="shared" si="4"/>
        <v>194315333.00049773</v>
      </c>
    </row>
    <row r="23" spans="1:15" ht="12.75">
      <c r="A23" s="325" t="s">
        <v>95</v>
      </c>
      <c r="B23" s="325"/>
      <c r="C23" s="234">
        <f>SUM(C21:C22)</f>
        <v>516129313.84460694</v>
      </c>
      <c r="D23" s="234">
        <f aca="true" t="shared" si="5" ref="D23:N23">SUM(D21:D22)</f>
        <v>470819417.7462982</v>
      </c>
      <c r="E23" s="234">
        <f t="shared" si="5"/>
        <v>458125798.14354146</v>
      </c>
      <c r="F23" s="234">
        <f t="shared" si="5"/>
        <v>361884043.87996393</v>
      </c>
      <c r="G23" s="234">
        <f t="shared" si="5"/>
        <v>331509121.73892</v>
      </c>
      <c r="H23" s="234">
        <f t="shared" si="5"/>
        <v>271516032.6727086</v>
      </c>
      <c r="I23" s="234">
        <f t="shared" si="5"/>
        <v>263090277.1516912</v>
      </c>
      <c r="J23" s="234">
        <f t="shared" si="5"/>
        <v>263509959.21707612</v>
      </c>
      <c r="K23" s="234">
        <f t="shared" si="5"/>
        <v>265553307.13170683</v>
      </c>
      <c r="L23" s="234">
        <f t="shared" si="5"/>
        <v>297000006.76167357</v>
      </c>
      <c r="M23" s="234">
        <f t="shared" si="5"/>
        <v>349070960.43499947</v>
      </c>
      <c r="N23" s="234">
        <f t="shared" si="5"/>
        <v>463538803.26439536</v>
      </c>
      <c r="O23" s="326">
        <f t="shared" si="4"/>
        <v>4311747041.987582</v>
      </c>
    </row>
    <row r="24" spans="1:15" ht="12.75">
      <c r="A24" s="269" t="s">
        <v>46</v>
      </c>
      <c r="C24" s="231">
        <v>25054239.090126842</v>
      </c>
      <c r="D24" s="231">
        <v>23947308.926431797</v>
      </c>
      <c r="E24" s="231">
        <v>24778327.71529182</v>
      </c>
      <c r="F24" s="231">
        <v>19673628.478945963</v>
      </c>
      <c r="G24" s="231">
        <v>19705463.919923946</v>
      </c>
      <c r="H24" s="231">
        <v>16973750.19414236</v>
      </c>
      <c r="I24" s="231">
        <v>17470246.348917868</v>
      </c>
      <c r="J24" s="231">
        <v>17355842.138498247</v>
      </c>
      <c r="K24" s="231">
        <v>17678286.16211143</v>
      </c>
      <c r="L24" s="231">
        <v>18075941.83632879</v>
      </c>
      <c r="M24" s="231">
        <v>17737765.140632696</v>
      </c>
      <c r="N24" s="231">
        <v>22154198.209045544</v>
      </c>
      <c r="O24" s="326">
        <f t="shared" si="4"/>
        <v>240604998.1603973</v>
      </c>
    </row>
    <row r="25" spans="1:15" ht="12.75">
      <c r="A25" s="269" t="s">
        <v>47</v>
      </c>
      <c r="C25" s="231">
        <v>239579439.10776353</v>
      </c>
      <c r="D25" s="231">
        <v>227368670.79070008</v>
      </c>
      <c r="E25" s="231">
        <v>228184562.05384693</v>
      </c>
      <c r="F25" s="231">
        <v>193918198.35243177</v>
      </c>
      <c r="G25" s="231">
        <v>190109868.0163232</v>
      </c>
      <c r="H25" s="231">
        <v>189265281.33373857</v>
      </c>
      <c r="I25" s="231">
        <v>195835281.50903186</v>
      </c>
      <c r="J25" s="231">
        <v>190588359.90718496</v>
      </c>
      <c r="K25" s="231">
        <v>182428741.7169053</v>
      </c>
      <c r="L25" s="231">
        <v>197173592.92362168</v>
      </c>
      <c r="M25" s="231">
        <v>199422591.7794435</v>
      </c>
      <c r="N25" s="231">
        <v>227394363.22912452</v>
      </c>
      <c r="O25" s="326">
        <f t="shared" si="4"/>
        <v>2461268950.7201157</v>
      </c>
    </row>
    <row r="26" spans="1:15" ht="12.75">
      <c r="A26" s="269" t="s">
        <v>48</v>
      </c>
      <c r="C26" s="231">
        <v>35096557</v>
      </c>
      <c r="D26" s="231">
        <v>30777495</v>
      </c>
      <c r="E26" s="231">
        <v>37224786</v>
      </c>
      <c r="F26" s="231">
        <v>32404250</v>
      </c>
      <c r="G26" s="231">
        <v>33505033</v>
      </c>
      <c r="H26" s="231">
        <v>33139815</v>
      </c>
      <c r="I26" s="231">
        <v>37969360</v>
      </c>
      <c r="J26" s="231">
        <v>38383819</v>
      </c>
      <c r="K26" s="231">
        <v>35811295</v>
      </c>
      <c r="L26" s="231">
        <v>34843162</v>
      </c>
      <c r="M26" s="231">
        <v>32971008.12293102</v>
      </c>
      <c r="N26" s="231">
        <v>33060764.813905407</v>
      </c>
      <c r="O26" s="326">
        <f t="shared" si="4"/>
        <v>415187344.9368364</v>
      </c>
    </row>
    <row r="27" spans="1:15" ht="12.75">
      <c r="A27" s="269" t="s">
        <v>49</v>
      </c>
      <c r="C27" s="231">
        <v>23892128.986424677</v>
      </c>
      <c r="D27" s="231">
        <v>22187486.98978901</v>
      </c>
      <c r="E27" s="231">
        <v>23823017.566372495</v>
      </c>
      <c r="F27" s="231">
        <v>20227973.185708687</v>
      </c>
      <c r="G27" s="231">
        <v>20827850.85325282</v>
      </c>
      <c r="H27" s="231">
        <v>20267882.116491325</v>
      </c>
      <c r="I27" s="231">
        <v>23069569.723985806</v>
      </c>
      <c r="J27" s="231">
        <v>18904477.829306006</v>
      </c>
      <c r="K27" s="231">
        <v>21239241.473004825</v>
      </c>
      <c r="L27" s="231">
        <v>16608872.26853967</v>
      </c>
      <c r="M27" s="231">
        <v>20717128.90960718</v>
      </c>
      <c r="N27" s="231">
        <v>24025307.281967316</v>
      </c>
      <c r="O27" s="326">
        <f t="shared" si="4"/>
        <v>255790937.18444976</v>
      </c>
    </row>
    <row r="28" spans="1:15" ht="12.75">
      <c r="A28" s="269" t="s">
        <v>50</v>
      </c>
      <c r="C28" s="231">
        <v>37338669.36657387</v>
      </c>
      <c r="D28" s="231">
        <v>38770685.520580575</v>
      </c>
      <c r="E28" s="231">
        <v>43393092.019857004</v>
      </c>
      <c r="F28" s="231">
        <v>42220873.4699043</v>
      </c>
      <c r="G28" s="231">
        <v>38261549.511217296</v>
      </c>
      <c r="H28" s="231">
        <v>41597947.68831301</v>
      </c>
      <c r="I28" s="231">
        <v>41403757.83794585</v>
      </c>
      <c r="J28" s="231">
        <v>40025150.94381815</v>
      </c>
      <c r="K28" s="231">
        <v>43093385.160355315</v>
      </c>
      <c r="L28" s="231">
        <v>41794995.01671873</v>
      </c>
      <c r="M28" s="231">
        <v>41136127.63727259</v>
      </c>
      <c r="N28" s="231">
        <v>41904505.43741902</v>
      </c>
      <c r="O28" s="326">
        <f t="shared" si="4"/>
        <v>490940739.6099757</v>
      </c>
    </row>
    <row r="29" spans="1:15" ht="12.75">
      <c r="A29" s="269" t="s">
        <v>51</v>
      </c>
      <c r="C29" s="231">
        <v>77413569.44</v>
      </c>
      <c r="D29" s="231">
        <v>72775167.68</v>
      </c>
      <c r="E29" s="231">
        <v>77538009.69</v>
      </c>
      <c r="F29" s="231">
        <v>75612712.44</v>
      </c>
      <c r="G29" s="231">
        <v>76648467</v>
      </c>
      <c r="H29" s="231">
        <v>77452544.22</v>
      </c>
      <c r="I29" s="231">
        <v>77012032.9</v>
      </c>
      <c r="J29" s="231">
        <v>79399380.52000001</v>
      </c>
      <c r="K29" s="231">
        <v>80836843.09</v>
      </c>
      <c r="L29" s="231">
        <v>77490481.31</v>
      </c>
      <c r="M29" s="231">
        <v>79373258.69984713</v>
      </c>
      <c r="N29" s="231">
        <v>75071104.01097429</v>
      </c>
      <c r="O29" s="326">
        <f t="shared" si="4"/>
        <v>926623571.0008214</v>
      </c>
    </row>
    <row r="30" spans="1:15" ht="12.75">
      <c r="A30" s="269" t="s">
        <v>164</v>
      </c>
      <c r="C30" s="327">
        <v>161260512</v>
      </c>
      <c r="D30" s="327">
        <v>145654656</v>
      </c>
      <c r="E30" s="327">
        <v>159855764</v>
      </c>
      <c r="F30" s="327">
        <v>156058560</v>
      </c>
      <c r="G30" s="327">
        <v>161260512</v>
      </c>
      <c r="H30" s="327">
        <v>156058560</v>
      </c>
      <c r="I30" s="327">
        <v>161260512</v>
      </c>
      <c r="J30" s="327">
        <v>161260512</v>
      </c>
      <c r="K30" s="327">
        <v>88871560</v>
      </c>
      <c r="L30" s="327">
        <v>29673880</v>
      </c>
      <c r="M30" s="327">
        <v>37618560.00000001</v>
      </c>
      <c r="N30" s="327">
        <v>38872512</v>
      </c>
      <c r="O30" s="326">
        <f t="shared" si="4"/>
        <v>1457706100</v>
      </c>
    </row>
    <row r="31" spans="1:15" ht="12.75">
      <c r="A31" s="269" t="s">
        <v>52</v>
      </c>
      <c r="C31" s="231">
        <v>20421066</v>
      </c>
      <c r="D31" s="231">
        <v>19292747</v>
      </c>
      <c r="E31" s="231">
        <v>19378649</v>
      </c>
      <c r="F31" s="231">
        <v>15767063</v>
      </c>
      <c r="G31" s="231">
        <v>14060408</v>
      </c>
      <c r="H31" s="231">
        <v>12650029</v>
      </c>
      <c r="I31" s="231">
        <v>13607616</v>
      </c>
      <c r="J31" s="231">
        <v>13564379</v>
      </c>
      <c r="K31" s="231">
        <v>13258088</v>
      </c>
      <c r="L31" s="231">
        <v>15256829</v>
      </c>
      <c r="M31" s="231">
        <v>16706794.005903678</v>
      </c>
      <c r="N31" s="231">
        <v>19819901.316194266</v>
      </c>
      <c r="O31" s="326">
        <f t="shared" si="4"/>
        <v>193783569.32209796</v>
      </c>
    </row>
    <row r="32" spans="1:15" ht="12.75">
      <c r="A32" s="269" t="s">
        <v>53</v>
      </c>
      <c r="C32" s="231">
        <v>8861752.24295505</v>
      </c>
      <c r="D32" s="231">
        <v>8916948.142315011</v>
      </c>
      <c r="E32" s="231">
        <v>9926719.6398334</v>
      </c>
      <c r="F32" s="231">
        <v>9225098.637041202</v>
      </c>
      <c r="G32" s="231">
        <v>9906998.59548337</v>
      </c>
      <c r="H32" s="231">
        <v>8951400.126645159</v>
      </c>
      <c r="I32" s="231">
        <v>9337248.837506989</v>
      </c>
      <c r="J32" s="231">
        <v>9533539.786029493</v>
      </c>
      <c r="K32" s="231">
        <v>9875713.277327318</v>
      </c>
      <c r="L32" s="231">
        <v>9289066.42838288</v>
      </c>
      <c r="M32" s="231">
        <v>10031257.468571562</v>
      </c>
      <c r="N32" s="231">
        <v>10094127.10237779</v>
      </c>
      <c r="O32" s="326">
        <f t="shared" si="4"/>
        <v>113949870.2844692</v>
      </c>
    </row>
    <row r="34" spans="1:2" ht="12.75">
      <c r="A34" s="382" t="s">
        <v>91</v>
      </c>
      <c r="B34" s="382"/>
    </row>
    <row r="35" spans="1:6" ht="12.75">
      <c r="A35" s="378" t="s">
        <v>74</v>
      </c>
      <c r="B35" s="382"/>
      <c r="F35" s="231"/>
    </row>
    <row r="36" spans="1:15" ht="12.75">
      <c r="A36" s="378" t="s">
        <v>171</v>
      </c>
      <c r="B36" s="378"/>
      <c r="C36" s="231">
        <v>15498000</v>
      </c>
      <c r="D36" s="231">
        <v>12474000</v>
      </c>
      <c r="E36" s="231">
        <v>15456000</v>
      </c>
      <c r="F36" s="231">
        <v>14490000</v>
      </c>
      <c r="G36" s="231">
        <v>15498000</v>
      </c>
      <c r="H36" s="231">
        <v>14490000</v>
      </c>
      <c r="I36" s="231">
        <v>15498000</v>
      </c>
      <c r="J36" s="231">
        <v>15498000</v>
      </c>
      <c r="K36" s="231">
        <v>14490000</v>
      </c>
      <c r="L36" s="231">
        <v>15498000</v>
      </c>
      <c r="M36" s="231">
        <v>14490000</v>
      </c>
      <c r="N36" s="231">
        <v>15498000</v>
      </c>
      <c r="O36" s="326">
        <f>SUM(C36:N36)</f>
        <v>178878000</v>
      </c>
    </row>
    <row r="37" spans="1:15" ht="15">
      <c r="A37" s="378" t="s">
        <v>172</v>
      </c>
      <c r="B37" s="378"/>
      <c r="C37" s="328">
        <v>0</v>
      </c>
      <c r="D37" s="328">
        <v>0</v>
      </c>
      <c r="E37" s="328">
        <v>0</v>
      </c>
      <c r="F37" s="328">
        <v>0</v>
      </c>
      <c r="G37" s="328">
        <v>0</v>
      </c>
      <c r="H37" s="328">
        <v>0</v>
      </c>
      <c r="I37" s="328">
        <v>0</v>
      </c>
      <c r="J37" s="328">
        <v>0</v>
      </c>
      <c r="K37" s="328">
        <v>0</v>
      </c>
      <c r="L37" s="328">
        <v>0</v>
      </c>
      <c r="M37" s="328">
        <v>0</v>
      </c>
      <c r="N37" s="328">
        <v>0</v>
      </c>
      <c r="O37" s="329">
        <f>SUM(C37:N37)</f>
        <v>0</v>
      </c>
    </row>
    <row r="38" spans="1:15" ht="12.75">
      <c r="A38" s="378" t="s">
        <v>169</v>
      </c>
      <c r="B38" s="378"/>
      <c r="C38" s="330">
        <f>+C36+C37</f>
        <v>15498000</v>
      </c>
      <c r="D38" s="330">
        <f aca="true" t="shared" si="6" ref="D38:N38">+D36+D37</f>
        <v>12474000</v>
      </c>
      <c r="E38" s="330">
        <f t="shared" si="6"/>
        <v>15456000</v>
      </c>
      <c r="F38" s="330">
        <f t="shared" si="6"/>
        <v>14490000</v>
      </c>
      <c r="G38" s="330">
        <f t="shared" si="6"/>
        <v>15498000</v>
      </c>
      <c r="H38" s="330">
        <f t="shared" si="6"/>
        <v>14490000</v>
      </c>
      <c r="I38" s="330">
        <f t="shared" si="6"/>
        <v>15498000</v>
      </c>
      <c r="J38" s="330">
        <f t="shared" si="6"/>
        <v>15498000</v>
      </c>
      <c r="K38" s="330">
        <f t="shared" si="6"/>
        <v>14490000</v>
      </c>
      <c r="L38" s="330">
        <f t="shared" si="6"/>
        <v>15498000</v>
      </c>
      <c r="M38" s="330">
        <f t="shared" si="6"/>
        <v>14490000</v>
      </c>
      <c r="N38" s="330">
        <f t="shared" si="6"/>
        <v>15498000</v>
      </c>
      <c r="O38" s="326">
        <f>SUM(C38:N38)</f>
        <v>178878000</v>
      </c>
    </row>
    <row r="39" spans="1:2" ht="12.75">
      <c r="A39" s="378" t="s">
        <v>57</v>
      </c>
      <c r="B39" s="378"/>
    </row>
    <row r="40" spans="1:15" ht="12.75">
      <c r="A40" s="378" t="s">
        <v>167</v>
      </c>
      <c r="B40" s="378"/>
      <c r="C40" s="331">
        <v>-783477.7300000004</v>
      </c>
      <c r="D40" s="331">
        <v>-227858</v>
      </c>
      <c r="E40" s="331">
        <v>-235956</v>
      </c>
      <c r="F40" s="331">
        <v>-204727</v>
      </c>
      <c r="G40" s="331">
        <v>1415476.33</v>
      </c>
      <c r="H40" s="331">
        <v>-278700.13999999966</v>
      </c>
      <c r="I40" s="331">
        <v>-255421</v>
      </c>
      <c r="J40" s="331">
        <v>24492.790000000037</v>
      </c>
      <c r="K40" s="331">
        <v>28139</v>
      </c>
      <c r="L40" s="331">
        <v>2330392.4000000004</v>
      </c>
      <c r="M40" s="331">
        <v>16825.41000000015</v>
      </c>
      <c r="N40" s="331">
        <v>145404</v>
      </c>
      <c r="O40" s="326">
        <f>SUM(C40:N40)</f>
        <v>1974590.0600000005</v>
      </c>
    </row>
    <row r="41" spans="1:15" ht="15">
      <c r="A41" s="378" t="s">
        <v>168</v>
      </c>
      <c r="B41" s="378"/>
      <c r="C41" s="328">
        <v>329088</v>
      </c>
      <c r="D41" s="328">
        <v>15157</v>
      </c>
      <c r="E41" s="328">
        <v>31000</v>
      </c>
      <c r="F41" s="328">
        <v>301760</v>
      </c>
      <c r="G41" s="328">
        <v>395810</v>
      </c>
      <c r="H41" s="328">
        <v>218825</v>
      </c>
      <c r="I41" s="328">
        <v>2263693</v>
      </c>
      <c r="J41" s="328">
        <v>1476267</v>
      </c>
      <c r="K41" s="328">
        <v>561691</v>
      </c>
      <c r="L41" s="328">
        <v>409428</v>
      </c>
      <c r="M41" s="328">
        <v>1293111</v>
      </c>
      <c r="N41" s="328">
        <v>54939</v>
      </c>
      <c r="O41" s="329">
        <f>SUM(C41:N41)</f>
        <v>7350769</v>
      </c>
    </row>
    <row r="42" spans="1:15" ht="12.75">
      <c r="A42" s="378" t="s">
        <v>173</v>
      </c>
      <c r="B42" s="378"/>
      <c r="C42" s="332">
        <f>SUM(C40:C41)</f>
        <v>-454389.73000000045</v>
      </c>
      <c r="D42" s="332">
        <f aca="true" t="shared" si="7" ref="D42:N42">SUM(D40:D41)</f>
        <v>-212701</v>
      </c>
      <c r="E42" s="332">
        <f t="shared" si="7"/>
        <v>-204956</v>
      </c>
      <c r="F42" s="332">
        <f t="shared" si="7"/>
        <v>97033</v>
      </c>
      <c r="G42" s="332">
        <f t="shared" si="7"/>
        <v>1811286.33</v>
      </c>
      <c r="H42" s="332">
        <f t="shared" si="7"/>
        <v>-59875.139999999665</v>
      </c>
      <c r="I42" s="332">
        <f t="shared" si="7"/>
        <v>2008272</v>
      </c>
      <c r="J42" s="332">
        <f t="shared" si="7"/>
        <v>1500759.79</v>
      </c>
      <c r="K42" s="332">
        <f t="shared" si="7"/>
        <v>589830</v>
      </c>
      <c r="L42" s="332">
        <f t="shared" si="7"/>
        <v>2739820.4000000004</v>
      </c>
      <c r="M42" s="332">
        <f t="shared" si="7"/>
        <v>1309936.4100000001</v>
      </c>
      <c r="N42" s="332">
        <f t="shared" si="7"/>
        <v>200343</v>
      </c>
      <c r="O42" s="326">
        <f>SUM(C42:N42)</f>
        <v>9325359.06</v>
      </c>
    </row>
    <row r="43" spans="1:15" ht="12.75">
      <c r="A43" s="269" t="s">
        <v>170</v>
      </c>
      <c r="C43" s="334">
        <v>15750000</v>
      </c>
      <c r="D43" s="334">
        <v>15750000</v>
      </c>
      <c r="E43" s="334">
        <v>15750000</v>
      </c>
      <c r="F43" s="334">
        <v>15750000</v>
      </c>
      <c r="G43" s="334">
        <v>15750000</v>
      </c>
      <c r="H43" s="334">
        <v>15750000</v>
      </c>
      <c r="I43" s="334">
        <v>15750000</v>
      </c>
      <c r="J43" s="334">
        <v>15750000</v>
      </c>
      <c r="K43" s="334">
        <v>15750000</v>
      </c>
      <c r="L43" s="334">
        <v>15750000</v>
      </c>
      <c r="M43" s="334">
        <v>15750000</v>
      </c>
      <c r="N43" s="334">
        <v>15750000</v>
      </c>
      <c r="O43" s="326">
        <f>SUM(C43:N43)</f>
        <v>189000000</v>
      </c>
    </row>
    <row r="45" spans="1:15" ht="12.75">
      <c r="A45" s="269" t="s">
        <v>165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</row>
    <row r="46" spans="1:15" ht="15">
      <c r="A46" s="269" t="s">
        <v>333</v>
      </c>
      <c r="C46" s="336">
        <v>1245505949</v>
      </c>
      <c r="D46" s="336">
        <v>1156314618.0000002</v>
      </c>
      <c r="E46" s="336">
        <v>1184464405.9999998</v>
      </c>
      <c r="F46" s="336">
        <v>1030267577.0000001</v>
      </c>
      <c r="G46" s="336">
        <v>968877822</v>
      </c>
      <c r="H46" s="336">
        <v>894632199.0000002</v>
      </c>
      <c r="I46" s="336">
        <v>940006064.0000001</v>
      </c>
      <c r="J46" s="336">
        <v>930830009.0000001</v>
      </c>
      <c r="K46" s="336">
        <v>825129619</v>
      </c>
      <c r="L46" s="336">
        <v>837703564</v>
      </c>
      <c r="M46" s="336">
        <v>903524536.6787843</v>
      </c>
      <c r="N46" s="336">
        <v>1083547903.0655928</v>
      </c>
      <c r="O46" s="326">
        <f>SUM(C46:N46)</f>
        <v>12000804266.744377</v>
      </c>
    </row>
    <row r="48" spans="1:15" ht="12.75">
      <c r="A48" s="314" t="s">
        <v>92</v>
      </c>
      <c r="B48" s="314"/>
      <c r="C48" s="337">
        <v>208000</v>
      </c>
      <c r="D48" s="337">
        <v>60000</v>
      </c>
      <c r="E48" s="337">
        <v>350000</v>
      </c>
      <c r="F48" s="337">
        <v>50000</v>
      </c>
      <c r="G48" s="337">
        <v>176000</v>
      </c>
      <c r="H48" s="337">
        <v>0</v>
      </c>
      <c r="I48" s="337">
        <v>1076000</v>
      </c>
      <c r="J48" s="337">
        <v>1230000</v>
      </c>
      <c r="K48" s="337">
        <v>276000</v>
      </c>
      <c r="L48" s="337">
        <v>966000</v>
      </c>
      <c r="M48" s="337">
        <v>21256000</v>
      </c>
      <c r="N48" s="337">
        <v>-4000</v>
      </c>
      <c r="O48" s="326">
        <f>SUM(C48:N48)</f>
        <v>25644000</v>
      </c>
    </row>
    <row r="49" spans="1:15" ht="12.75">
      <c r="A49" s="314" t="s">
        <v>141</v>
      </c>
      <c r="B49" s="314"/>
      <c r="C49" s="337">
        <v>0</v>
      </c>
      <c r="D49" s="337">
        <v>2000</v>
      </c>
      <c r="E49" s="337">
        <v>11000</v>
      </c>
      <c r="F49" s="337">
        <v>2000</v>
      </c>
      <c r="G49" s="337">
        <v>4000</v>
      </c>
      <c r="H49" s="337">
        <v>0</v>
      </c>
      <c r="I49" s="337">
        <v>26000</v>
      </c>
      <c r="J49" s="337">
        <v>33000</v>
      </c>
      <c r="K49" s="337">
        <v>9000</v>
      </c>
      <c r="L49" s="337">
        <v>30000</v>
      </c>
      <c r="M49" s="337">
        <v>725000</v>
      </c>
      <c r="N49" s="337">
        <v>0</v>
      </c>
      <c r="O49" s="326">
        <f>SUM(C49:N49)</f>
        <v>842000</v>
      </c>
    </row>
    <row r="50" spans="1:15" ht="12.75">
      <c r="A50" s="314" t="s">
        <v>44</v>
      </c>
      <c r="B50" s="314"/>
      <c r="C50" s="337">
        <f>C48+C49</f>
        <v>208000</v>
      </c>
      <c r="D50" s="337">
        <f aca="true" t="shared" si="8" ref="D50:N50">D48+D49</f>
        <v>62000</v>
      </c>
      <c r="E50" s="337">
        <f t="shared" si="8"/>
        <v>361000</v>
      </c>
      <c r="F50" s="337">
        <f t="shared" si="8"/>
        <v>52000</v>
      </c>
      <c r="G50" s="337">
        <f t="shared" si="8"/>
        <v>180000</v>
      </c>
      <c r="H50" s="337">
        <f t="shared" si="8"/>
        <v>0</v>
      </c>
      <c r="I50" s="337">
        <f t="shared" si="8"/>
        <v>1102000</v>
      </c>
      <c r="J50" s="337">
        <f t="shared" si="8"/>
        <v>1263000</v>
      </c>
      <c r="K50" s="337">
        <f t="shared" si="8"/>
        <v>285000</v>
      </c>
      <c r="L50" s="337">
        <f t="shared" si="8"/>
        <v>996000</v>
      </c>
      <c r="M50" s="337">
        <f t="shared" si="8"/>
        <v>21981000</v>
      </c>
      <c r="N50" s="337">
        <f t="shared" si="8"/>
        <v>-4000</v>
      </c>
      <c r="O50" s="337">
        <f>O48+O49</f>
        <v>26486000</v>
      </c>
    </row>
    <row r="51" ht="12.75">
      <c r="F51" s="335"/>
    </row>
    <row r="52" spans="1:15" ht="12.75">
      <c r="A52" s="314" t="s">
        <v>142</v>
      </c>
      <c r="C52" s="337">
        <v>1245505949</v>
      </c>
      <c r="D52" s="337">
        <v>1156314618.0000002</v>
      </c>
      <c r="E52" s="337">
        <v>1184464405.9999998</v>
      </c>
      <c r="F52" s="337">
        <v>1030267577.0000001</v>
      </c>
      <c r="G52" s="337">
        <v>968877822</v>
      </c>
      <c r="H52" s="337">
        <v>894632199.0000002</v>
      </c>
      <c r="I52" s="337">
        <v>940006064.0000001</v>
      </c>
      <c r="J52" s="337">
        <v>930830009.0000001</v>
      </c>
      <c r="K52" s="337">
        <v>825129619</v>
      </c>
      <c r="L52" s="337">
        <v>837703564</v>
      </c>
      <c r="M52" s="337">
        <v>903524536.6787843</v>
      </c>
      <c r="N52" s="337">
        <v>1083547903.0655928</v>
      </c>
      <c r="O52" s="326">
        <f>SUM(C52:N52)</f>
        <v>12000804266.744377</v>
      </c>
    </row>
    <row r="53" spans="1:15" ht="12.75">
      <c r="A53" s="314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26"/>
    </row>
    <row r="54" spans="1:15" ht="12.75">
      <c r="A54" s="284" t="s">
        <v>55</v>
      </c>
      <c r="B54" s="314"/>
      <c r="C54" s="331">
        <v>159693344</v>
      </c>
      <c r="D54" s="331">
        <v>150509400</v>
      </c>
      <c r="E54" s="331">
        <v>169463371</v>
      </c>
      <c r="F54" s="331">
        <v>169151051</v>
      </c>
      <c r="G54" s="331">
        <v>178375532</v>
      </c>
      <c r="H54" s="331">
        <v>156522315</v>
      </c>
      <c r="I54" s="331">
        <v>178918489</v>
      </c>
      <c r="J54" s="331">
        <v>163566049</v>
      </c>
      <c r="K54" s="331">
        <v>85857834</v>
      </c>
      <c r="L54" s="331">
        <v>25729147</v>
      </c>
      <c r="M54" s="331">
        <v>37618560.00000001</v>
      </c>
      <c r="N54" s="331">
        <v>38872512</v>
      </c>
      <c r="O54" s="331">
        <f aca="true" t="shared" si="9" ref="O54:O61">SUM(C54:N54)</f>
        <v>1514277604</v>
      </c>
    </row>
    <row r="55" spans="1:15" ht="12.75">
      <c r="A55" s="269" t="s">
        <v>256</v>
      </c>
      <c r="C55" s="338">
        <v>911840.5199999999</v>
      </c>
      <c r="D55" s="338">
        <v>748427.42</v>
      </c>
      <c r="E55" s="338">
        <v>967173.93</v>
      </c>
      <c r="F55" s="338">
        <v>1082079.22</v>
      </c>
      <c r="G55" s="338">
        <v>1231461.8499999999</v>
      </c>
      <c r="H55" s="338">
        <v>891466.96</v>
      </c>
      <c r="I55" s="338">
        <v>1185488.98</v>
      </c>
      <c r="J55" s="338">
        <v>837950.6</v>
      </c>
      <c r="K55" s="338">
        <v>315620.7</v>
      </c>
      <c r="L55" s="338">
        <v>166058.16</v>
      </c>
      <c r="M55" s="338">
        <v>0</v>
      </c>
      <c r="N55" s="338">
        <v>0</v>
      </c>
      <c r="O55" s="338">
        <f t="shared" si="9"/>
        <v>8337568.339999999</v>
      </c>
    </row>
    <row r="56" spans="1:15" ht="12.75">
      <c r="A56" s="269" t="s">
        <v>257</v>
      </c>
      <c r="C56" s="372">
        <v>-1382121.7523976963</v>
      </c>
      <c r="D56" s="372">
        <v>-537284.2065489651</v>
      </c>
      <c r="E56" s="372">
        <v>-556069.43</v>
      </c>
      <c r="F56" s="372">
        <v>-465880.50847775594</v>
      </c>
      <c r="G56" s="372">
        <v>-440559.5536879165</v>
      </c>
      <c r="H56" s="372">
        <v>-875870.1575196779</v>
      </c>
      <c r="I56" s="372">
        <v>-436122.0411785896</v>
      </c>
      <c r="J56" s="372">
        <v>-743442.389338159</v>
      </c>
      <c r="K56" s="372">
        <v>-462807.23000000004</v>
      </c>
      <c r="L56" s="372">
        <v>-187649.36000000002</v>
      </c>
      <c r="M56" s="338">
        <v>0</v>
      </c>
      <c r="N56" s="338">
        <v>0</v>
      </c>
      <c r="O56" s="372">
        <f t="shared" si="9"/>
        <v>-6087806.629148761</v>
      </c>
    </row>
    <row r="57" ht="12.75">
      <c r="O57" s="331"/>
    </row>
    <row r="58" spans="1:15" ht="12.75">
      <c r="A58" s="269" t="s">
        <v>258</v>
      </c>
      <c r="C58" s="331">
        <v>161260512</v>
      </c>
      <c r="D58" s="331">
        <v>145654656</v>
      </c>
      <c r="E58" s="331">
        <v>159855764</v>
      </c>
      <c r="F58" s="331">
        <v>156058560</v>
      </c>
      <c r="G58" s="331">
        <v>161260512</v>
      </c>
      <c r="H58" s="331">
        <v>156058560</v>
      </c>
      <c r="I58" s="331">
        <v>161260512</v>
      </c>
      <c r="J58" s="331">
        <v>161260512</v>
      </c>
      <c r="K58" s="331">
        <v>88871560</v>
      </c>
      <c r="L58" s="331">
        <v>29673880</v>
      </c>
      <c r="M58" s="331">
        <v>37618560.00000001</v>
      </c>
      <c r="N58" s="331">
        <v>38872512</v>
      </c>
      <c r="O58" s="331">
        <f t="shared" si="9"/>
        <v>1457706100</v>
      </c>
    </row>
    <row r="59" spans="1:15" ht="12.75">
      <c r="A59" s="269" t="s">
        <v>259</v>
      </c>
      <c r="C59" s="331">
        <v>15012564</v>
      </c>
      <c r="D59" s="331">
        <v>15056207</v>
      </c>
      <c r="E59" s="331">
        <v>19570553</v>
      </c>
      <c r="F59" s="331">
        <v>22121606</v>
      </c>
      <c r="G59" s="331">
        <v>25816712</v>
      </c>
      <c r="H59" s="331">
        <v>18695903</v>
      </c>
      <c r="I59" s="331">
        <v>24667696</v>
      </c>
      <c r="J59" s="331">
        <v>18538699</v>
      </c>
      <c r="K59" s="331">
        <v>7469484</v>
      </c>
      <c r="L59" s="331">
        <v>4011648</v>
      </c>
      <c r="M59" s="331">
        <v>0</v>
      </c>
      <c r="N59" s="331">
        <v>0</v>
      </c>
      <c r="O59" s="331">
        <f t="shared" si="9"/>
        <v>170961072</v>
      </c>
    </row>
    <row r="60" spans="1:15" ht="12.75">
      <c r="A60" s="269" t="s">
        <v>260</v>
      </c>
      <c r="C60" s="331">
        <v>-16394033</v>
      </c>
      <c r="D60" s="331">
        <v>-9633548</v>
      </c>
      <c r="E60" s="331">
        <v>-9749308</v>
      </c>
      <c r="F60" s="331">
        <v>-9029115</v>
      </c>
      <c r="G60" s="331">
        <v>-8698066</v>
      </c>
      <c r="H60" s="331">
        <v>-16296224</v>
      </c>
      <c r="I60" s="331">
        <v>-6472319</v>
      </c>
      <c r="J60" s="331">
        <v>-15467061</v>
      </c>
      <c r="K60" s="331">
        <v>-10285444</v>
      </c>
      <c r="L60" s="331">
        <v>-4192415</v>
      </c>
      <c r="M60" s="331">
        <v>0</v>
      </c>
      <c r="N60" s="331">
        <v>0</v>
      </c>
      <c r="O60" s="331">
        <f t="shared" si="9"/>
        <v>-106217533</v>
      </c>
    </row>
    <row r="61" spans="1:15" ht="12.75">
      <c r="A61" s="269" t="s">
        <v>261</v>
      </c>
      <c r="C61" s="331">
        <v>-185699</v>
      </c>
      <c r="D61" s="331">
        <v>-567915</v>
      </c>
      <c r="E61" s="331">
        <v>-213638</v>
      </c>
      <c r="F61" s="331">
        <v>0</v>
      </c>
      <c r="G61" s="331">
        <v>-3626</v>
      </c>
      <c r="H61" s="331">
        <v>-1935924</v>
      </c>
      <c r="I61" s="331">
        <v>-537400</v>
      </c>
      <c r="J61" s="331">
        <v>-766101</v>
      </c>
      <c r="K61" s="331">
        <v>-197766</v>
      </c>
      <c r="L61" s="331">
        <v>-3763966</v>
      </c>
      <c r="M61" s="331">
        <v>0</v>
      </c>
      <c r="N61" s="331">
        <v>0</v>
      </c>
      <c r="O61" s="331">
        <f t="shared" si="9"/>
        <v>-8172035</v>
      </c>
    </row>
    <row r="62" spans="1:15" ht="12.75">
      <c r="A62" s="269" t="s">
        <v>262</v>
      </c>
      <c r="C62" s="331">
        <f>SUM(C59:C61)</f>
        <v>-1567168</v>
      </c>
      <c r="D62" s="331">
        <f aca="true" t="shared" si="10" ref="D62:N62">SUM(D59:D61)</f>
        <v>4854744</v>
      </c>
      <c r="E62" s="331">
        <f t="shared" si="10"/>
        <v>9607607</v>
      </c>
      <c r="F62" s="331">
        <f t="shared" si="10"/>
        <v>13092491</v>
      </c>
      <c r="G62" s="331">
        <f t="shared" si="10"/>
        <v>17115020</v>
      </c>
      <c r="H62" s="331">
        <f t="shared" si="10"/>
        <v>463755</v>
      </c>
      <c r="I62" s="331">
        <f t="shared" si="10"/>
        <v>17657977</v>
      </c>
      <c r="J62" s="331">
        <f t="shared" si="10"/>
        <v>2305537</v>
      </c>
      <c r="K62" s="331">
        <f t="shared" si="10"/>
        <v>-3013726</v>
      </c>
      <c r="L62" s="331">
        <f t="shared" si="10"/>
        <v>-3944733</v>
      </c>
      <c r="M62" s="331">
        <f t="shared" si="10"/>
        <v>0</v>
      </c>
      <c r="N62" s="331">
        <f t="shared" si="10"/>
        <v>0</v>
      </c>
      <c r="O62" s="331">
        <f>SUM(C62:N62)</f>
        <v>56571504</v>
      </c>
    </row>
    <row r="63" spans="3:15" ht="12.75"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</row>
    <row r="64" ht="12.75">
      <c r="E64" s="340"/>
    </row>
    <row r="65" spans="1:2" ht="15.75">
      <c r="A65" s="341" t="s">
        <v>263</v>
      </c>
      <c r="B65" s="341"/>
    </row>
    <row r="66" spans="1:2" ht="15.75">
      <c r="A66" s="341"/>
      <c r="B66" s="341"/>
    </row>
    <row r="67" spans="1:2" ht="12.75">
      <c r="A67" s="314" t="s">
        <v>39</v>
      </c>
      <c r="B67" s="314"/>
    </row>
    <row r="68" spans="1:15" ht="12.75">
      <c r="A68" s="321" t="s">
        <v>95</v>
      </c>
      <c r="B68" s="321"/>
      <c r="C68" s="339">
        <v>24469690.769372813</v>
      </c>
      <c r="D68" s="339">
        <v>22321548.595351998</v>
      </c>
      <c r="E68" s="339">
        <v>21719744.089985296</v>
      </c>
      <c r="F68" s="339">
        <v>17156922.52034909</v>
      </c>
      <c r="G68" s="339">
        <v>15716847.461642195</v>
      </c>
      <c r="H68" s="339">
        <v>12872575.109013112</v>
      </c>
      <c r="I68" s="339">
        <v>12473110.03976168</v>
      </c>
      <c r="J68" s="339">
        <v>12493007.166481579</v>
      </c>
      <c r="K68" s="339">
        <v>12589882.291114222</v>
      </c>
      <c r="L68" s="339">
        <v>14080770.320570944</v>
      </c>
      <c r="M68" s="339">
        <v>16549454.234223323</v>
      </c>
      <c r="N68" s="339">
        <v>21976374.66276498</v>
      </c>
      <c r="O68" s="335">
        <f aca="true" t="shared" si="11" ref="O68:O91">SUM(C68:N68)</f>
        <v>204419927.2606312</v>
      </c>
    </row>
    <row r="69" spans="1:15" ht="12.75">
      <c r="A69" s="269" t="s">
        <v>46</v>
      </c>
      <c r="C69" s="339">
        <v>1221644.6980345848</v>
      </c>
      <c r="D69" s="339">
        <v>1167670.7832528143</v>
      </c>
      <c r="E69" s="339">
        <v>1208191.2593976292</v>
      </c>
      <c r="F69" s="339">
        <v>959286.1246334051</v>
      </c>
      <c r="G69" s="339">
        <v>960838.4207354916</v>
      </c>
      <c r="H69" s="339">
        <v>827640.0594663814</v>
      </c>
      <c r="I69" s="339">
        <v>851849.2119732352</v>
      </c>
      <c r="J69" s="339">
        <v>846270.8626731745</v>
      </c>
      <c r="K69" s="339">
        <v>861993.2332645534</v>
      </c>
      <c r="L69" s="339">
        <v>881382.9239393917</v>
      </c>
      <c r="M69" s="339">
        <v>864893.4282572501</v>
      </c>
      <c r="N69" s="339">
        <v>1080238.704673061</v>
      </c>
      <c r="O69" s="335">
        <f t="shared" si="11"/>
        <v>11731899.710300973</v>
      </c>
    </row>
    <row r="70" spans="1:15" ht="12.75">
      <c r="A70" s="269" t="s">
        <v>47</v>
      </c>
      <c r="C70" s="339">
        <v>11842411.675096752</v>
      </c>
      <c r="D70" s="339">
        <v>11238833.397184305</v>
      </c>
      <c r="E70" s="339">
        <v>11279162.902321653</v>
      </c>
      <c r="F70" s="339">
        <v>9585376.544560703</v>
      </c>
      <c r="G70" s="339">
        <v>9397130.776046857</v>
      </c>
      <c r="H70" s="339">
        <v>9355382.856326697</v>
      </c>
      <c r="I70" s="339">
        <v>9680137.964991445</v>
      </c>
      <c r="J70" s="339">
        <v>9420782.630212152</v>
      </c>
      <c r="K70" s="339">
        <v>9017452.703066628</v>
      </c>
      <c r="L70" s="339">
        <v>9746290.69821462</v>
      </c>
      <c r="M70" s="339">
        <v>9857458.711657893</v>
      </c>
      <c r="N70" s="339">
        <v>11240103.374415625</v>
      </c>
      <c r="O70" s="335">
        <f t="shared" si="11"/>
        <v>121660524.23409534</v>
      </c>
    </row>
    <row r="71" spans="1:15" ht="12.75">
      <c r="A71" s="269" t="s">
        <v>48</v>
      </c>
      <c r="C71" s="339">
        <v>1593734.6533700002</v>
      </c>
      <c r="D71" s="339">
        <v>1397606.04795</v>
      </c>
      <c r="E71" s="339">
        <v>1690377.5322599998</v>
      </c>
      <c r="F71" s="339">
        <v>1471476.9925000002</v>
      </c>
      <c r="G71" s="339">
        <v>1521463.54853</v>
      </c>
      <c r="H71" s="339">
        <v>1504878.9991499998</v>
      </c>
      <c r="I71" s="339">
        <v>1724188.6375999996</v>
      </c>
      <c r="J71" s="339">
        <v>1743009.22079</v>
      </c>
      <c r="K71" s="339">
        <v>1626190.90595</v>
      </c>
      <c r="L71" s="339">
        <v>1582227.9864199997</v>
      </c>
      <c r="M71" s="339">
        <v>1497213.4788622975</v>
      </c>
      <c r="N71" s="339">
        <v>1501289.3301994444</v>
      </c>
      <c r="O71" s="335">
        <f t="shared" si="11"/>
        <v>18853657.333581742</v>
      </c>
    </row>
    <row r="72" spans="1:15" ht="12.75">
      <c r="A72" s="269" t="s">
        <v>49</v>
      </c>
      <c r="C72" s="339">
        <v>1115284.5810863038</v>
      </c>
      <c r="D72" s="339">
        <v>1035711.892683351</v>
      </c>
      <c r="E72" s="339">
        <v>1112058.4599982682</v>
      </c>
      <c r="F72" s="339">
        <v>944241.7883088815</v>
      </c>
      <c r="G72" s="339">
        <v>972244.0778298416</v>
      </c>
      <c r="H72" s="339">
        <v>946104.7371978151</v>
      </c>
      <c r="I72" s="339">
        <v>1076887.5147156573</v>
      </c>
      <c r="J72" s="339">
        <v>882461.0250720044</v>
      </c>
      <c r="K72" s="339">
        <v>991447.7919598653</v>
      </c>
      <c r="L72" s="339">
        <v>775302.1574954318</v>
      </c>
      <c r="M72" s="339">
        <v>967075.5775004632</v>
      </c>
      <c r="N72" s="339">
        <v>1121501.3439222341</v>
      </c>
      <c r="O72" s="335">
        <f t="shared" si="11"/>
        <v>11940320.947770119</v>
      </c>
    </row>
    <row r="73" spans="1:15" ht="12.75">
      <c r="A73" s="269" t="s">
        <v>50</v>
      </c>
      <c r="C73" s="339">
        <v>1714965.084006738</v>
      </c>
      <c r="D73" s="339">
        <v>1780737.5859602657</v>
      </c>
      <c r="E73" s="339">
        <v>1993044.7164720322</v>
      </c>
      <c r="F73" s="339">
        <v>1939204.7184727045</v>
      </c>
      <c r="G73" s="339">
        <v>1757352.9690502104</v>
      </c>
      <c r="H73" s="339">
        <v>1910593.7373242164</v>
      </c>
      <c r="I73" s="339">
        <v>1901674.5974968527</v>
      </c>
      <c r="J73" s="339">
        <v>1838355.1828495676</v>
      </c>
      <c r="K73" s="339">
        <v>1979279.1804151195</v>
      </c>
      <c r="L73" s="339">
        <v>1919644.1211178913</v>
      </c>
      <c r="M73" s="339">
        <v>1889382.34237993</v>
      </c>
      <c r="N73" s="339">
        <v>1924673.9347406556</v>
      </c>
      <c r="O73" s="335">
        <f t="shared" si="11"/>
        <v>22548908.170286182</v>
      </c>
    </row>
    <row r="74" spans="1:15" ht="12.75">
      <c r="A74" s="269" t="s">
        <v>51</v>
      </c>
      <c r="C74" s="339">
        <v>3407745.3267488</v>
      </c>
      <c r="D74" s="339">
        <v>3203562.8812735993</v>
      </c>
      <c r="E74" s="339">
        <v>3413223.1865538</v>
      </c>
      <c r="F74" s="339">
        <v>3328471.6016088</v>
      </c>
      <c r="G74" s="339">
        <v>3374065.51734</v>
      </c>
      <c r="H74" s="339">
        <v>3409460.9965643995</v>
      </c>
      <c r="I74" s="339">
        <v>3390069.6882579997</v>
      </c>
      <c r="J74" s="339">
        <v>3495160.7304903995</v>
      </c>
      <c r="K74" s="339">
        <v>3558437.8328218004</v>
      </c>
      <c r="L74" s="339">
        <v>3411130.9872661997</v>
      </c>
      <c r="M74" s="339">
        <v>3494010.8479672708</v>
      </c>
      <c r="N74" s="339">
        <v>3304629.998563086</v>
      </c>
      <c r="O74" s="335">
        <f t="shared" si="11"/>
        <v>40789969.59545616</v>
      </c>
    </row>
    <row r="75" spans="1:15" ht="12.75">
      <c r="A75" s="269" t="s">
        <v>55</v>
      </c>
      <c r="C75" s="339">
        <v>6431717.28309</v>
      </c>
      <c r="D75" s="339">
        <v>5793313.5681300005</v>
      </c>
      <c r="E75" s="339">
        <v>6374510.09118</v>
      </c>
      <c r="F75" s="339">
        <v>6231418.3008</v>
      </c>
      <c r="G75" s="339">
        <v>6438987.4579799995</v>
      </c>
      <c r="H75" s="339">
        <v>6154116.85548</v>
      </c>
      <c r="I75" s="339">
        <v>6417673.86216</v>
      </c>
      <c r="J75" s="339">
        <v>6408541.83123</v>
      </c>
      <c r="K75" s="339">
        <v>3540744.5944200004</v>
      </c>
      <c r="L75" s="339">
        <v>1034582.8660200001</v>
      </c>
      <c r="M75" s="339">
        <v>1502109.1008000004</v>
      </c>
      <c r="N75" s="339">
        <v>1552179.40416</v>
      </c>
      <c r="O75" s="335">
        <f t="shared" si="11"/>
        <v>57879895.21545</v>
      </c>
    </row>
    <row r="76" spans="1:15" ht="12.75">
      <c r="A76" s="269" t="s">
        <v>52</v>
      </c>
      <c r="C76" s="339">
        <v>926707.97508</v>
      </c>
      <c r="D76" s="339">
        <v>875504.8588599999</v>
      </c>
      <c r="E76" s="339">
        <v>879403.09162</v>
      </c>
      <c r="F76" s="339">
        <v>715509.3189399999</v>
      </c>
      <c r="G76" s="339">
        <v>638061.3150399999</v>
      </c>
      <c r="H76" s="339">
        <v>574058.31602</v>
      </c>
      <c r="I76" s="339">
        <v>617513.6140800001</v>
      </c>
      <c r="J76" s="339">
        <v>615551.51902</v>
      </c>
      <c r="K76" s="339">
        <v>601652.0334399999</v>
      </c>
      <c r="L76" s="339">
        <v>692354.9000200001</v>
      </c>
      <c r="M76" s="339">
        <v>758154.3119879087</v>
      </c>
      <c r="N76" s="339">
        <v>899427.1217288957</v>
      </c>
      <c r="O76" s="335">
        <f t="shared" si="11"/>
        <v>8793898.375836803</v>
      </c>
    </row>
    <row r="77" spans="1:15" ht="12.75">
      <c r="A77" s="269" t="s">
        <v>53</v>
      </c>
      <c r="C77" s="339">
        <v>426781.9880207152</v>
      </c>
      <c r="D77" s="339">
        <v>429440.222533891</v>
      </c>
      <c r="E77" s="339">
        <v>478070.81785437657</v>
      </c>
      <c r="F77" s="339">
        <v>444280.7503599043</v>
      </c>
      <c r="G77" s="339">
        <v>477121.0523584791</v>
      </c>
      <c r="H77" s="339">
        <v>431099.43009923084</v>
      </c>
      <c r="I77" s="339">
        <v>449681.9040143366</v>
      </c>
      <c r="J77" s="339">
        <v>459135.2760951804</v>
      </c>
      <c r="K77" s="339">
        <v>475614.3514360836</v>
      </c>
      <c r="L77" s="339">
        <v>447361.43919091945</v>
      </c>
      <c r="M77" s="339">
        <v>483105.35968640645</v>
      </c>
      <c r="N77" s="339">
        <v>486133.1612505143</v>
      </c>
      <c r="O77" s="335">
        <f t="shared" si="11"/>
        <v>5487825.752900037</v>
      </c>
    </row>
    <row r="78" spans="1:15" ht="12.75">
      <c r="A78" s="269" t="s">
        <v>106</v>
      </c>
      <c r="C78" s="335">
        <f>SUM(C68:C77)</f>
        <v>53150684.033906706</v>
      </c>
      <c r="D78" s="335">
        <f aca="true" t="shared" si="12" ref="D78:N78">SUM(D68:D77)</f>
        <v>49243929.83318022</v>
      </c>
      <c r="E78" s="335">
        <f t="shared" si="12"/>
        <v>50147786.147643045</v>
      </c>
      <c r="F78" s="335">
        <f t="shared" si="12"/>
        <v>42776188.66053349</v>
      </c>
      <c r="G78" s="335">
        <f t="shared" si="12"/>
        <v>41254112.59655307</v>
      </c>
      <c r="H78" s="335">
        <f t="shared" si="12"/>
        <v>37985911.09664185</v>
      </c>
      <c r="I78" s="335">
        <f t="shared" si="12"/>
        <v>38582787.0350512</v>
      </c>
      <c r="J78" s="335">
        <f t="shared" si="12"/>
        <v>38202275.44491406</v>
      </c>
      <c r="K78" s="335">
        <f t="shared" si="12"/>
        <v>35242694.91788828</v>
      </c>
      <c r="L78" s="335">
        <f t="shared" si="12"/>
        <v>34571048.4002554</v>
      </c>
      <c r="M78" s="335">
        <f t="shared" si="12"/>
        <v>37862857.39332274</v>
      </c>
      <c r="N78" s="335">
        <f t="shared" si="12"/>
        <v>45086551.036418505</v>
      </c>
      <c r="O78" s="335">
        <f>SUM(C78:N78)</f>
        <v>504106826.5963086</v>
      </c>
    </row>
    <row r="79" spans="6:15" ht="12.75">
      <c r="F79" s="339"/>
      <c r="O79" s="335"/>
    </row>
    <row r="80" spans="1:15" ht="12.75">
      <c r="A80" s="382" t="s">
        <v>91</v>
      </c>
      <c r="B80" s="382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5"/>
    </row>
    <row r="81" spans="1:15" ht="12.75">
      <c r="A81" s="379" t="s">
        <v>306</v>
      </c>
      <c r="B81" s="382"/>
      <c r="C81" s="339">
        <v>682221.96</v>
      </c>
      <c r="D81" s="339">
        <v>549105.48</v>
      </c>
      <c r="E81" s="339">
        <v>680373.12</v>
      </c>
      <c r="F81" s="339">
        <v>637849.7999999999</v>
      </c>
      <c r="G81" s="339">
        <v>682221.96</v>
      </c>
      <c r="H81" s="339">
        <v>637849.7999999999</v>
      </c>
      <c r="I81" s="339">
        <v>682221.96</v>
      </c>
      <c r="J81" s="339">
        <v>682221.96</v>
      </c>
      <c r="K81" s="339">
        <v>637849.7999999999</v>
      </c>
      <c r="L81" s="339">
        <v>682221.96</v>
      </c>
      <c r="M81" s="339">
        <v>637849.7999999999</v>
      </c>
      <c r="N81" s="339">
        <v>682221.96</v>
      </c>
      <c r="O81" s="335">
        <f>SUM(C81:N81)</f>
        <v>7874209.56</v>
      </c>
    </row>
    <row r="82" spans="1:15" ht="12.75">
      <c r="A82" s="379" t="s">
        <v>307</v>
      </c>
      <c r="B82" s="382"/>
      <c r="C82" s="339">
        <v>887415.48</v>
      </c>
      <c r="D82" s="339">
        <v>714261.24</v>
      </c>
      <c r="E82" s="339">
        <v>885010.5599999999</v>
      </c>
      <c r="F82" s="339">
        <v>829697.4</v>
      </c>
      <c r="G82" s="339">
        <v>887415.48</v>
      </c>
      <c r="H82" s="339">
        <v>829697.4</v>
      </c>
      <c r="I82" s="339">
        <v>887415.48</v>
      </c>
      <c r="J82" s="339">
        <v>887415.48</v>
      </c>
      <c r="K82" s="339">
        <v>829697.4</v>
      </c>
      <c r="L82" s="339">
        <v>887415.48</v>
      </c>
      <c r="M82" s="339">
        <v>829697.4</v>
      </c>
      <c r="N82" s="339">
        <v>887415.48</v>
      </c>
      <c r="O82" s="335">
        <f>SUM(C82:N82)</f>
        <v>10242554.280000003</v>
      </c>
    </row>
    <row r="83" spans="1:15" ht="12.75">
      <c r="A83" s="378" t="s">
        <v>304</v>
      </c>
      <c r="B83" s="378"/>
      <c r="C83" s="339">
        <f>C81*'Monthly Fuel Cost Allocation'!$A$2+(1-'Monthly Fuel Cost Allocation'!$A$2)*'Data Inputs - 2011'!C82</f>
        <v>887415.48</v>
      </c>
      <c r="D83" s="339">
        <f>D81*'Monthly Fuel Cost Allocation'!$A$2+(1-'Monthly Fuel Cost Allocation'!$A$2)*'Data Inputs - 2011'!D82</f>
        <v>714261.24</v>
      </c>
      <c r="E83" s="339">
        <f>E81*'Monthly Fuel Cost Allocation'!$A$2+(1-'Monthly Fuel Cost Allocation'!$A$2)*'Data Inputs - 2011'!E82</f>
        <v>885010.5599999999</v>
      </c>
      <c r="F83" s="339">
        <f>F81*'Monthly Fuel Cost Allocation'!$A$2+(1-'Monthly Fuel Cost Allocation'!$A$2)*'Data Inputs - 2011'!F82</f>
        <v>829697.4</v>
      </c>
      <c r="G83" s="339">
        <f>G81*'Monthly Fuel Cost Allocation'!$A$2+(1-'Monthly Fuel Cost Allocation'!$A$2)*'Data Inputs - 2011'!G82</f>
        <v>887415.48</v>
      </c>
      <c r="H83" s="339">
        <f>H81*'Monthly Fuel Cost Allocation'!$A$2+(1-'Monthly Fuel Cost Allocation'!$A$2)*'Data Inputs - 2011'!H82</f>
        <v>829697.4</v>
      </c>
      <c r="I83" s="339">
        <f>I81*'Monthly Fuel Cost Allocation'!$A$2+(1-'Monthly Fuel Cost Allocation'!$A$2)*'Data Inputs - 2011'!I82</f>
        <v>887415.48</v>
      </c>
      <c r="J83" s="339">
        <f>J81*'Monthly Fuel Cost Allocation'!$A$2+(1-'Monthly Fuel Cost Allocation'!$A$2)*'Data Inputs - 2011'!J82</f>
        <v>887415.48</v>
      </c>
      <c r="K83" s="339">
        <f>K81*'Monthly Fuel Cost Allocation'!$A$2+(1-'Monthly Fuel Cost Allocation'!$A$2)*'Data Inputs - 2011'!K82</f>
        <v>829697.4</v>
      </c>
      <c r="L83" s="339">
        <f>L81*'Monthly Fuel Cost Allocation'!$A$2+(1-'Monthly Fuel Cost Allocation'!$A$2)*'Data Inputs - 2011'!L82</f>
        <v>887415.48</v>
      </c>
      <c r="M83" s="339">
        <f>M81*'Monthly Fuel Cost Allocation'!$A$2+(1-'Monthly Fuel Cost Allocation'!$A$2)*'Data Inputs - 2011'!M82</f>
        <v>829697.4</v>
      </c>
      <c r="N83" s="339">
        <f>N81*'Monthly Fuel Cost Allocation'!$A$2+(1-'Monthly Fuel Cost Allocation'!$A$2)*'Data Inputs - 2011'!N82</f>
        <v>887415.48</v>
      </c>
      <c r="O83" s="335">
        <f t="shared" si="11"/>
        <v>10242554.280000003</v>
      </c>
    </row>
    <row r="84" spans="1:15" ht="12.75">
      <c r="A84" s="378" t="s">
        <v>57</v>
      </c>
      <c r="B84" s="378"/>
      <c r="O84" s="335"/>
    </row>
    <row r="85" spans="1:15" ht="12.75">
      <c r="A85" s="378" t="s">
        <v>253</v>
      </c>
      <c r="B85" s="378"/>
      <c r="O85" s="335"/>
    </row>
    <row r="86" spans="1:15" ht="12.75">
      <c r="A86" s="378" t="s">
        <v>254</v>
      </c>
      <c r="B86" s="378"/>
      <c r="C86" s="342"/>
      <c r="D86" s="342"/>
      <c r="E86" s="342">
        <v>0</v>
      </c>
      <c r="F86" s="342">
        <v>0</v>
      </c>
      <c r="G86" s="342">
        <v>0</v>
      </c>
      <c r="H86" s="342">
        <v>0</v>
      </c>
      <c r="I86" s="342">
        <v>0</v>
      </c>
      <c r="J86" s="342">
        <v>0</v>
      </c>
      <c r="K86" s="342">
        <v>0</v>
      </c>
      <c r="L86" s="342">
        <v>0</v>
      </c>
      <c r="M86" s="342">
        <v>0</v>
      </c>
      <c r="N86" s="342">
        <v>0</v>
      </c>
      <c r="O86" s="335">
        <v>0</v>
      </c>
    </row>
    <row r="87" spans="1:15" ht="12.75">
      <c r="A87" s="378" t="s">
        <v>106</v>
      </c>
      <c r="B87" s="378"/>
      <c r="C87" s="269">
        <f>SUM(C83:C86)</f>
        <v>887415.48</v>
      </c>
      <c r="D87" s="269">
        <f aca="true" t="shared" si="13" ref="D87:K87">SUM(D83:D86)</f>
        <v>714261.24</v>
      </c>
      <c r="E87" s="269">
        <f t="shared" si="13"/>
        <v>885010.5599999999</v>
      </c>
      <c r="F87" s="269">
        <f t="shared" si="13"/>
        <v>829697.4</v>
      </c>
      <c r="G87" s="269">
        <f t="shared" si="13"/>
        <v>887415.48</v>
      </c>
      <c r="H87" s="269">
        <f t="shared" si="13"/>
        <v>829697.4</v>
      </c>
      <c r="I87" s="269">
        <f t="shared" si="13"/>
        <v>887415.48</v>
      </c>
      <c r="J87" s="269">
        <f t="shared" si="13"/>
        <v>887415.48</v>
      </c>
      <c r="K87" s="269">
        <f t="shared" si="13"/>
        <v>829697.4</v>
      </c>
      <c r="L87" s="269">
        <f>SUM(L83:L86)</f>
        <v>887415.48</v>
      </c>
      <c r="M87" s="269">
        <f>SUM(M83:M86)</f>
        <v>829697.4</v>
      </c>
      <c r="N87" s="269">
        <f>SUM(N83:N86)</f>
        <v>887415.48</v>
      </c>
      <c r="O87" s="335">
        <f t="shared" si="11"/>
        <v>10242554.280000003</v>
      </c>
    </row>
    <row r="88" spans="1:15" ht="12.75">
      <c r="A88" s="378"/>
      <c r="B88" s="378"/>
      <c r="C88" s="333"/>
      <c r="O88" s="335"/>
    </row>
    <row r="89" spans="1:15" ht="12.75">
      <c r="A89" s="378" t="s">
        <v>44</v>
      </c>
      <c r="B89" s="378"/>
      <c r="C89" s="335">
        <f aca="true" t="shared" si="14" ref="C89:N89">C78+C87</f>
        <v>54038099.5139067</v>
      </c>
      <c r="D89" s="335">
        <f t="shared" si="14"/>
        <v>49958191.07318022</v>
      </c>
      <c r="E89" s="335">
        <f t="shared" si="14"/>
        <v>51032796.70764305</v>
      </c>
      <c r="F89" s="335">
        <f t="shared" si="14"/>
        <v>43605886.06053349</v>
      </c>
      <c r="G89" s="335">
        <f t="shared" si="14"/>
        <v>42141528.07655307</v>
      </c>
      <c r="H89" s="335">
        <f t="shared" si="14"/>
        <v>38815608.49664185</v>
      </c>
      <c r="I89" s="335">
        <f t="shared" si="14"/>
        <v>39470202.51505119</v>
      </c>
      <c r="J89" s="335">
        <f t="shared" si="14"/>
        <v>39089690.924914055</v>
      </c>
      <c r="K89" s="335">
        <f t="shared" si="14"/>
        <v>36072392.317888275</v>
      </c>
      <c r="L89" s="335">
        <f t="shared" si="14"/>
        <v>35458463.88025539</v>
      </c>
      <c r="M89" s="335">
        <f t="shared" si="14"/>
        <v>38692554.79332274</v>
      </c>
      <c r="N89" s="335">
        <f t="shared" si="14"/>
        <v>45973966.5164185</v>
      </c>
      <c r="O89" s="335">
        <f t="shared" si="11"/>
        <v>514349380.87630856</v>
      </c>
    </row>
    <row r="90" spans="1:15" ht="12.75">
      <c r="A90" s="379" t="s">
        <v>309</v>
      </c>
      <c r="B90" s="378"/>
      <c r="C90" s="335">
        <f>C78+C81</f>
        <v>53832905.99390671</v>
      </c>
      <c r="D90" s="335">
        <f aca="true" t="shared" si="15" ref="D90:N90">D78+D81</f>
        <v>49793035.313180216</v>
      </c>
      <c r="E90" s="335">
        <f t="shared" si="15"/>
        <v>50828159.26764304</v>
      </c>
      <c r="F90" s="335">
        <f t="shared" si="15"/>
        <v>43414038.460533485</v>
      </c>
      <c r="G90" s="335">
        <f t="shared" si="15"/>
        <v>41936334.55655307</v>
      </c>
      <c r="H90" s="335">
        <f t="shared" si="15"/>
        <v>38623760.89664185</v>
      </c>
      <c r="I90" s="335">
        <f t="shared" si="15"/>
        <v>39265008.9950512</v>
      </c>
      <c r="J90" s="335">
        <f t="shared" si="15"/>
        <v>38884497.40491406</v>
      </c>
      <c r="K90" s="335">
        <f t="shared" si="15"/>
        <v>35880544.71788827</v>
      </c>
      <c r="L90" s="335">
        <f t="shared" si="15"/>
        <v>35253270.3602554</v>
      </c>
      <c r="M90" s="335">
        <f t="shared" si="15"/>
        <v>38500707.19332274</v>
      </c>
      <c r="N90" s="335">
        <f t="shared" si="15"/>
        <v>45768772.996418506</v>
      </c>
      <c r="O90" s="335">
        <f t="shared" si="11"/>
        <v>511981036.15630853</v>
      </c>
    </row>
    <row r="91" spans="1:15" ht="12.75">
      <c r="A91" s="379" t="s">
        <v>310</v>
      </c>
      <c r="B91" s="378"/>
      <c r="C91" s="335">
        <f>C78+C82</f>
        <v>54038099.5139067</v>
      </c>
      <c r="D91" s="335">
        <f aca="true" t="shared" si="16" ref="D91:N91">D78+D82</f>
        <v>49958191.07318022</v>
      </c>
      <c r="E91" s="335">
        <f t="shared" si="16"/>
        <v>51032796.70764305</v>
      </c>
      <c r="F91" s="335">
        <f t="shared" si="16"/>
        <v>43605886.06053349</v>
      </c>
      <c r="G91" s="335">
        <f t="shared" si="16"/>
        <v>42141528.07655307</v>
      </c>
      <c r="H91" s="335">
        <f t="shared" si="16"/>
        <v>38815608.49664185</v>
      </c>
      <c r="I91" s="335">
        <f t="shared" si="16"/>
        <v>39470202.51505119</v>
      </c>
      <c r="J91" s="335">
        <f t="shared" si="16"/>
        <v>39089690.924914055</v>
      </c>
      <c r="K91" s="335">
        <f t="shared" si="16"/>
        <v>36072392.317888275</v>
      </c>
      <c r="L91" s="335">
        <f t="shared" si="16"/>
        <v>35458463.88025539</v>
      </c>
      <c r="M91" s="335">
        <f t="shared" si="16"/>
        <v>38692554.79332274</v>
      </c>
      <c r="N91" s="335">
        <f t="shared" si="16"/>
        <v>45973966.5164185</v>
      </c>
      <c r="O91" s="335">
        <f t="shared" si="11"/>
        <v>514349380.87630856</v>
      </c>
    </row>
    <row r="92" ht="12.75">
      <c r="O92" s="335"/>
    </row>
    <row r="93" spans="1:2" ht="12.75">
      <c r="A93" s="314" t="s">
        <v>264</v>
      </c>
      <c r="B93" s="314"/>
    </row>
    <row r="94" spans="1:2" ht="12.75">
      <c r="A94" s="314"/>
      <c r="B94" s="314"/>
    </row>
    <row r="95" ht="12.75">
      <c r="A95" s="314" t="s">
        <v>39</v>
      </c>
    </row>
    <row r="96" spans="1:15" ht="12.75">
      <c r="A96" s="321" t="s">
        <v>93</v>
      </c>
      <c r="B96" s="343">
        <v>4.741</v>
      </c>
      <c r="C96" s="344">
        <f aca="true" t="shared" si="17" ref="C96:N96">C21*$B96/100</f>
        <v>23306629.936810013</v>
      </c>
      <c r="D96" s="344">
        <f t="shared" si="17"/>
        <v>21203509.441290002</v>
      </c>
      <c r="E96" s="344">
        <f t="shared" si="17"/>
        <v>20603608.19468463</v>
      </c>
      <c r="F96" s="344">
        <f t="shared" si="17"/>
        <v>16253604.088018727</v>
      </c>
      <c r="G96" s="344">
        <f t="shared" si="17"/>
        <v>15073761.20077392</v>
      </c>
      <c r="H96" s="344">
        <f t="shared" si="17"/>
        <v>12439196.743120395</v>
      </c>
      <c r="I96" s="344">
        <f t="shared" si="17"/>
        <v>12128734.577592209</v>
      </c>
      <c r="J96" s="344">
        <f t="shared" si="17"/>
        <v>12140206.026215054</v>
      </c>
      <c r="K96" s="344">
        <f t="shared" si="17"/>
        <v>12195081.628574848</v>
      </c>
      <c r="L96" s="344">
        <f t="shared" si="17"/>
        <v>13548512.627650438</v>
      </c>
      <c r="M96" s="344">
        <f t="shared" si="17"/>
        <v>15738831.136262394</v>
      </c>
      <c r="N96" s="344">
        <f t="shared" si="17"/>
        <v>20575761.722085003</v>
      </c>
      <c r="O96" s="344">
        <f>SUM(B96:N96)</f>
        <v>195207442.06407765</v>
      </c>
    </row>
    <row r="97" spans="1:15" ht="12.75">
      <c r="A97" s="321" t="s">
        <v>94</v>
      </c>
      <c r="B97" s="343">
        <v>4.741</v>
      </c>
      <c r="C97" s="344">
        <f aca="true" t="shared" si="18" ref="C97:N97">C22*$B97/100</f>
        <v>1163060.832562801</v>
      </c>
      <c r="D97" s="344">
        <f t="shared" si="18"/>
        <v>1118039.154061996</v>
      </c>
      <c r="E97" s="344">
        <f t="shared" si="18"/>
        <v>1116135.8953006691</v>
      </c>
      <c r="F97" s="344">
        <f t="shared" si="18"/>
        <v>903318.4323303618</v>
      </c>
      <c r="G97" s="344">
        <f t="shared" si="18"/>
        <v>643086.260868272</v>
      </c>
      <c r="H97" s="344">
        <f t="shared" si="18"/>
        <v>433378.36589271895</v>
      </c>
      <c r="I97" s="344">
        <f t="shared" si="18"/>
        <v>344375.46216947085</v>
      </c>
      <c r="J97" s="344">
        <f t="shared" si="18"/>
        <v>352801.14026652224</v>
      </c>
      <c r="K97" s="344">
        <f t="shared" si="18"/>
        <v>394800.662539372</v>
      </c>
      <c r="L97" s="344">
        <f t="shared" si="18"/>
        <v>532257.6929205063</v>
      </c>
      <c r="M97" s="344">
        <f t="shared" si="18"/>
        <v>810623.0979609273</v>
      </c>
      <c r="N97" s="344">
        <f t="shared" si="18"/>
        <v>1400612.9406799802</v>
      </c>
      <c r="O97" s="344">
        <f aca="true" t="shared" si="19" ref="O97:O118">SUM(B97:N97)</f>
        <v>9212494.678553596</v>
      </c>
    </row>
    <row r="98" spans="1:15" ht="12.75">
      <c r="A98" s="321" t="s">
        <v>95</v>
      </c>
      <c r="B98" s="343"/>
      <c r="C98" s="344">
        <f>SUM(C96:C97)</f>
        <v>24469690.769372813</v>
      </c>
      <c r="D98" s="344">
        <f aca="true" t="shared" si="20" ref="D98:N98">SUM(D96:D97)</f>
        <v>22321548.595351998</v>
      </c>
      <c r="E98" s="344">
        <f t="shared" si="20"/>
        <v>21719744.089985296</v>
      </c>
      <c r="F98" s="344">
        <f t="shared" si="20"/>
        <v>17156922.52034909</v>
      </c>
      <c r="G98" s="344">
        <f t="shared" si="20"/>
        <v>15716847.461642193</v>
      </c>
      <c r="H98" s="344">
        <f t="shared" si="20"/>
        <v>12872575.109013114</v>
      </c>
      <c r="I98" s="344">
        <f t="shared" si="20"/>
        <v>12473110.03976168</v>
      </c>
      <c r="J98" s="344">
        <f t="shared" si="20"/>
        <v>12493007.166481577</v>
      </c>
      <c r="K98" s="344">
        <f t="shared" si="20"/>
        <v>12589882.29111422</v>
      </c>
      <c r="L98" s="344">
        <f t="shared" si="20"/>
        <v>14080770.320570944</v>
      </c>
      <c r="M98" s="344">
        <f t="shared" si="20"/>
        <v>16549454.234223321</v>
      </c>
      <c r="N98" s="344">
        <f t="shared" si="20"/>
        <v>21976374.66276498</v>
      </c>
      <c r="O98" s="344">
        <f t="shared" si="19"/>
        <v>204419927.2606312</v>
      </c>
    </row>
    <row r="99" spans="1:15" ht="12.75">
      <c r="A99" s="269" t="s">
        <v>46</v>
      </c>
      <c r="B99" s="345">
        <v>4.876</v>
      </c>
      <c r="C99" s="344">
        <f aca="true" t="shared" si="21" ref="C99:N99">C24*$B99/100</f>
        <v>1221644.698034585</v>
      </c>
      <c r="D99" s="344">
        <f t="shared" si="21"/>
        <v>1167670.7832528146</v>
      </c>
      <c r="E99" s="344">
        <f t="shared" si="21"/>
        <v>1208191.2593976292</v>
      </c>
      <c r="F99" s="344">
        <f t="shared" si="21"/>
        <v>959286.1246334052</v>
      </c>
      <c r="G99" s="344">
        <f t="shared" si="21"/>
        <v>960838.4207354917</v>
      </c>
      <c r="H99" s="344">
        <f t="shared" si="21"/>
        <v>827640.0594663816</v>
      </c>
      <c r="I99" s="344">
        <f t="shared" si="21"/>
        <v>851849.2119732354</v>
      </c>
      <c r="J99" s="344">
        <f t="shared" si="21"/>
        <v>846270.8626731746</v>
      </c>
      <c r="K99" s="344">
        <f t="shared" si="21"/>
        <v>861993.2332645534</v>
      </c>
      <c r="L99" s="344">
        <f t="shared" si="21"/>
        <v>881382.9239393919</v>
      </c>
      <c r="M99" s="344">
        <f t="shared" si="21"/>
        <v>864893.4282572503</v>
      </c>
      <c r="N99" s="344">
        <f t="shared" si="21"/>
        <v>1080238.7046730607</v>
      </c>
      <c r="O99" s="344">
        <f t="shared" si="19"/>
        <v>11731904.586300973</v>
      </c>
    </row>
    <row r="100" spans="1:15" ht="12.75">
      <c r="A100" s="269" t="s">
        <v>47</v>
      </c>
      <c r="B100" s="345">
        <v>4.943</v>
      </c>
      <c r="C100" s="344">
        <f aca="true" t="shared" si="22" ref="C100:N100">C25*$B100/100</f>
        <v>11842411.67509675</v>
      </c>
      <c r="D100" s="344">
        <f t="shared" si="22"/>
        <v>11238833.397184303</v>
      </c>
      <c r="E100" s="344">
        <f t="shared" si="22"/>
        <v>11279162.902321653</v>
      </c>
      <c r="F100" s="344">
        <f t="shared" si="22"/>
        <v>9585376.544560703</v>
      </c>
      <c r="G100" s="344">
        <f t="shared" si="22"/>
        <v>9397130.776046855</v>
      </c>
      <c r="H100" s="344">
        <f t="shared" si="22"/>
        <v>9355382.856326697</v>
      </c>
      <c r="I100" s="344">
        <f t="shared" si="22"/>
        <v>9680137.964991445</v>
      </c>
      <c r="J100" s="344">
        <f t="shared" si="22"/>
        <v>9420782.630212152</v>
      </c>
      <c r="K100" s="344">
        <f t="shared" si="22"/>
        <v>9017452.703066628</v>
      </c>
      <c r="L100" s="344">
        <f t="shared" si="22"/>
        <v>9746290.698214618</v>
      </c>
      <c r="M100" s="344">
        <f t="shared" si="22"/>
        <v>9857458.711657891</v>
      </c>
      <c r="N100" s="344">
        <f t="shared" si="22"/>
        <v>11240103.374415625</v>
      </c>
      <c r="O100" s="344">
        <f t="shared" si="19"/>
        <v>121660529.17709534</v>
      </c>
    </row>
    <row r="101" spans="1:15" ht="12.75">
      <c r="A101" s="269" t="s">
        <v>48</v>
      </c>
      <c r="B101" s="345">
        <v>4.541</v>
      </c>
      <c r="C101" s="344">
        <f aca="true" t="shared" si="23" ref="C101:N101">C26*$B101/100</f>
        <v>1593734.6533700002</v>
      </c>
      <c r="D101" s="344">
        <f t="shared" si="23"/>
        <v>1397606.0479500003</v>
      </c>
      <c r="E101" s="344">
        <f t="shared" si="23"/>
        <v>1690377.53226</v>
      </c>
      <c r="F101" s="344">
        <f t="shared" si="23"/>
        <v>1471476.9925</v>
      </c>
      <c r="G101" s="344">
        <f t="shared" si="23"/>
        <v>1521463.5485300003</v>
      </c>
      <c r="H101" s="344">
        <f t="shared" si="23"/>
        <v>1504878.9991500003</v>
      </c>
      <c r="I101" s="344">
        <f t="shared" si="23"/>
        <v>1724188.6376000002</v>
      </c>
      <c r="J101" s="344">
        <f t="shared" si="23"/>
        <v>1743009.2207900002</v>
      </c>
      <c r="K101" s="344">
        <f t="shared" si="23"/>
        <v>1626190.90595</v>
      </c>
      <c r="L101" s="344">
        <f t="shared" si="23"/>
        <v>1582227.9864200002</v>
      </c>
      <c r="M101" s="344">
        <f t="shared" si="23"/>
        <v>1497213.4788622975</v>
      </c>
      <c r="N101" s="344">
        <f t="shared" si="23"/>
        <v>1501289.3301994447</v>
      </c>
      <c r="O101" s="344">
        <f t="shared" si="19"/>
        <v>18853661.874581747</v>
      </c>
    </row>
    <row r="102" spans="1:15" ht="12.75">
      <c r="A102" s="269" t="s">
        <v>49</v>
      </c>
      <c r="B102" s="345">
        <v>4.668</v>
      </c>
      <c r="C102" s="344">
        <f aca="true" t="shared" si="24" ref="C102:N102">C27*$B102/100</f>
        <v>1115284.5810863038</v>
      </c>
      <c r="D102" s="344">
        <f t="shared" si="24"/>
        <v>1035711.8926833511</v>
      </c>
      <c r="E102" s="344">
        <f t="shared" si="24"/>
        <v>1112058.459998268</v>
      </c>
      <c r="F102" s="344">
        <f t="shared" si="24"/>
        <v>944241.7883088816</v>
      </c>
      <c r="G102" s="344">
        <f t="shared" si="24"/>
        <v>972244.0778298416</v>
      </c>
      <c r="H102" s="344">
        <f t="shared" si="24"/>
        <v>946104.737197815</v>
      </c>
      <c r="I102" s="344">
        <f t="shared" si="24"/>
        <v>1076887.5147156576</v>
      </c>
      <c r="J102" s="344">
        <f t="shared" si="24"/>
        <v>882461.0250720043</v>
      </c>
      <c r="K102" s="344">
        <f t="shared" si="24"/>
        <v>991447.7919598653</v>
      </c>
      <c r="L102" s="344">
        <f t="shared" si="24"/>
        <v>775302.157495432</v>
      </c>
      <c r="M102" s="344">
        <f t="shared" si="24"/>
        <v>967075.5775004631</v>
      </c>
      <c r="N102" s="344">
        <f t="shared" si="24"/>
        <v>1121501.3439222344</v>
      </c>
      <c r="O102" s="344">
        <f t="shared" si="19"/>
        <v>11940325.615770118</v>
      </c>
    </row>
    <row r="103" spans="1:15" ht="12.75">
      <c r="A103" s="269" t="s">
        <v>50</v>
      </c>
      <c r="B103" s="345">
        <v>4.593</v>
      </c>
      <c r="C103" s="344">
        <f aca="true" t="shared" si="25" ref="C103:N103">C28*$B103/100</f>
        <v>1714965.0840067377</v>
      </c>
      <c r="D103" s="344">
        <f t="shared" si="25"/>
        <v>1780737.5859602657</v>
      </c>
      <c r="E103" s="344">
        <f t="shared" si="25"/>
        <v>1993044.716472032</v>
      </c>
      <c r="F103" s="344">
        <f t="shared" si="25"/>
        <v>1939204.7184727045</v>
      </c>
      <c r="G103" s="344">
        <f t="shared" si="25"/>
        <v>1757352.9690502104</v>
      </c>
      <c r="H103" s="344">
        <f t="shared" si="25"/>
        <v>1910593.7373242164</v>
      </c>
      <c r="I103" s="344">
        <f t="shared" si="25"/>
        <v>1901674.597496853</v>
      </c>
      <c r="J103" s="344">
        <f t="shared" si="25"/>
        <v>1838355.1828495678</v>
      </c>
      <c r="K103" s="344">
        <f t="shared" si="25"/>
        <v>1979279.1804151195</v>
      </c>
      <c r="L103" s="344">
        <f t="shared" si="25"/>
        <v>1919644.1211178913</v>
      </c>
      <c r="M103" s="344">
        <f t="shared" si="25"/>
        <v>1889382.34237993</v>
      </c>
      <c r="N103" s="344">
        <f t="shared" si="25"/>
        <v>1924673.9347406554</v>
      </c>
      <c r="O103" s="344">
        <f t="shared" si="19"/>
        <v>22548912.76328618</v>
      </c>
    </row>
    <row r="104" spans="1:15" ht="12.75">
      <c r="A104" s="269" t="s">
        <v>51</v>
      </c>
      <c r="B104" s="345">
        <v>4.402</v>
      </c>
      <c r="C104" s="344">
        <f aca="true" t="shared" si="26" ref="C104:N104">C29*$B104/100</f>
        <v>3407745.3267488005</v>
      </c>
      <c r="D104" s="344">
        <f t="shared" si="26"/>
        <v>3203562.8812736003</v>
      </c>
      <c r="E104" s="344">
        <f t="shared" si="26"/>
        <v>3413223.1865538</v>
      </c>
      <c r="F104" s="344">
        <f t="shared" si="26"/>
        <v>3328471.6016088002</v>
      </c>
      <c r="G104" s="344">
        <f t="shared" si="26"/>
        <v>3374065.5173400003</v>
      </c>
      <c r="H104" s="344">
        <f t="shared" si="26"/>
        <v>3409460.9965644004</v>
      </c>
      <c r="I104" s="344">
        <f t="shared" si="26"/>
        <v>3390069.6882580006</v>
      </c>
      <c r="J104" s="344">
        <f t="shared" si="26"/>
        <v>3495160.730490401</v>
      </c>
      <c r="K104" s="344">
        <f t="shared" si="26"/>
        <v>3558437.8328218</v>
      </c>
      <c r="L104" s="344">
        <f t="shared" si="26"/>
        <v>3411130.9872662</v>
      </c>
      <c r="M104" s="344">
        <f t="shared" si="26"/>
        <v>3494010.8479672708</v>
      </c>
      <c r="N104" s="344">
        <f t="shared" si="26"/>
        <v>3304629.998563088</v>
      </c>
      <c r="O104" s="344">
        <f t="shared" si="19"/>
        <v>40789973.997456156</v>
      </c>
    </row>
    <row r="105" spans="1:15" ht="12.75">
      <c r="A105" s="269" t="s">
        <v>55</v>
      </c>
      <c r="B105" s="345">
        <v>3.993</v>
      </c>
      <c r="C105" s="344">
        <f>C30*$B105/100</f>
        <v>6439132.24416</v>
      </c>
      <c r="D105" s="344">
        <f aca="true" t="shared" si="27" ref="D105:N105">D30*$B105/100</f>
        <v>5815990.41408</v>
      </c>
      <c r="E105" s="344">
        <f>E30*$B105/100</f>
        <v>6383040.65652</v>
      </c>
      <c r="F105" s="344">
        <f t="shared" si="27"/>
        <v>6231418.300799999</v>
      </c>
      <c r="G105" s="344">
        <f t="shared" si="27"/>
        <v>6439132.24416</v>
      </c>
      <c r="H105" s="344">
        <f t="shared" si="27"/>
        <v>6231418.300799999</v>
      </c>
      <c r="I105" s="344">
        <f t="shared" si="27"/>
        <v>6439132.24416</v>
      </c>
      <c r="J105" s="344">
        <f t="shared" si="27"/>
        <v>6439132.24416</v>
      </c>
      <c r="K105" s="344">
        <f t="shared" si="27"/>
        <v>3548641.3907999997</v>
      </c>
      <c r="L105" s="344">
        <f t="shared" si="27"/>
        <v>1184878.0284</v>
      </c>
      <c r="M105" s="344">
        <f t="shared" si="27"/>
        <v>1502109.1008000001</v>
      </c>
      <c r="N105" s="344">
        <f t="shared" si="27"/>
        <v>1552179.4041600002</v>
      </c>
      <c r="O105" s="344">
        <f t="shared" si="19"/>
        <v>58206208.56599999</v>
      </c>
    </row>
    <row r="106" spans="1:15" ht="12.75">
      <c r="A106" s="269" t="s">
        <v>52</v>
      </c>
      <c r="B106" s="345">
        <v>4.538</v>
      </c>
      <c r="C106" s="344">
        <f aca="true" t="shared" si="28" ref="C106:N106">C31*$B106/100</f>
        <v>926707.97508</v>
      </c>
      <c r="D106" s="344">
        <f t="shared" si="28"/>
        <v>875504.85886</v>
      </c>
      <c r="E106" s="344">
        <f t="shared" si="28"/>
        <v>879403.09162</v>
      </c>
      <c r="F106" s="344">
        <f t="shared" si="28"/>
        <v>715509.3189400001</v>
      </c>
      <c r="G106" s="344">
        <f t="shared" si="28"/>
        <v>638061.31504</v>
      </c>
      <c r="H106" s="344">
        <f t="shared" si="28"/>
        <v>574058.31602</v>
      </c>
      <c r="I106" s="344">
        <f t="shared" si="28"/>
        <v>617513.61408</v>
      </c>
      <c r="J106" s="344">
        <f t="shared" si="28"/>
        <v>615551.51902</v>
      </c>
      <c r="K106" s="344">
        <f t="shared" si="28"/>
        <v>601652.03344</v>
      </c>
      <c r="L106" s="344">
        <f t="shared" si="28"/>
        <v>692354.9000200001</v>
      </c>
      <c r="M106" s="344">
        <f t="shared" si="28"/>
        <v>758154.3119879089</v>
      </c>
      <c r="N106" s="344">
        <f t="shared" si="28"/>
        <v>899427.1217288959</v>
      </c>
      <c r="O106" s="344">
        <f t="shared" si="19"/>
        <v>8793902.913836805</v>
      </c>
    </row>
    <row r="107" spans="1:15" ht="12.75">
      <c r="A107" s="269" t="s">
        <v>53</v>
      </c>
      <c r="B107" s="345">
        <v>4.816</v>
      </c>
      <c r="C107" s="344">
        <f aca="true" t="shared" si="29" ref="C107:N107">C32*$B107/100</f>
        <v>426781.9880207152</v>
      </c>
      <c r="D107" s="344">
        <f t="shared" si="29"/>
        <v>429440.2225338909</v>
      </c>
      <c r="E107" s="344">
        <f t="shared" si="29"/>
        <v>478070.8178543765</v>
      </c>
      <c r="F107" s="344">
        <f t="shared" si="29"/>
        <v>444280.75035990425</v>
      </c>
      <c r="G107" s="344">
        <f t="shared" si="29"/>
        <v>477121.05235847906</v>
      </c>
      <c r="H107" s="344">
        <f t="shared" si="29"/>
        <v>431099.43009923084</v>
      </c>
      <c r="I107" s="344">
        <f t="shared" si="29"/>
        <v>449681.9040143365</v>
      </c>
      <c r="J107" s="344">
        <f t="shared" si="29"/>
        <v>459135.27609518036</v>
      </c>
      <c r="K107" s="344">
        <f t="shared" si="29"/>
        <v>475614.3514360836</v>
      </c>
      <c r="L107" s="344">
        <f t="shared" si="29"/>
        <v>447361.43919091945</v>
      </c>
      <c r="M107" s="344">
        <f t="shared" si="29"/>
        <v>483105.3596864064</v>
      </c>
      <c r="N107" s="344">
        <f t="shared" si="29"/>
        <v>486133.1612505143</v>
      </c>
      <c r="O107" s="344">
        <f t="shared" si="19"/>
        <v>5487830.568900037</v>
      </c>
    </row>
    <row r="108" spans="1:15" ht="12.75">
      <c r="A108" s="269" t="s">
        <v>106</v>
      </c>
      <c r="B108" s="345"/>
      <c r="C108" s="344">
        <f>SUM(C98:C107)</f>
        <v>53158098.9949767</v>
      </c>
      <c r="D108" s="344">
        <f aca="true" t="shared" si="30" ref="D108:O108">SUM(D98:D107)</f>
        <v>49266606.67913022</v>
      </c>
      <c r="E108" s="344">
        <f t="shared" si="30"/>
        <v>50156316.71298305</v>
      </c>
      <c r="F108" s="344">
        <f t="shared" si="30"/>
        <v>42776188.66053349</v>
      </c>
      <c r="G108" s="344">
        <f t="shared" si="30"/>
        <v>41254257.38273307</v>
      </c>
      <c r="H108" s="344">
        <f t="shared" si="30"/>
        <v>38063212.541961856</v>
      </c>
      <c r="I108" s="344">
        <f t="shared" si="30"/>
        <v>38604245.417051196</v>
      </c>
      <c r="J108" s="344">
        <f t="shared" si="30"/>
        <v>38232865.85784406</v>
      </c>
      <c r="K108" s="344">
        <f t="shared" si="30"/>
        <v>35250591.714268275</v>
      </c>
      <c r="L108" s="344">
        <f t="shared" si="30"/>
        <v>34721343.5626354</v>
      </c>
      <c r="M108" s="344">
        <f t="shared" si="30"/>
        <v>37862857.39332273</v>
      </c>
      <c r="N108" s="344">
        <f t="shared" si="30"/>
        <v>45086551.036418505</v>
      </c>
      <c r="O108" s="344">
        <f t="shared" si="30"/>
        <v>504433177.3238585</v>
      </c>
    </row>
    <row r="109" spans="2:15" ht="12.75">
      <c r="B109" s="345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</row>
    <row r="110" spans="1:15" ht="12.75">
      <c r="A110" s="382" t="s">
        <v>91</v>
      </c>
      <c r="B110" s="383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</row>
    <row r="111" spans="1:15" ht="12.75">
      <c r="A111" s="378" t="s">
        <v>302</v>
      </c>
      <c r="B111" s="384">
        <v>4.402</v>
      </c>
      <c r="C111" s="344">
        <f>C36*$B111/100</f>
        <v>682221.96</v>
      </c>
      <c r="D111" s="344">
        <f aca="true" t="shared" si="31" ref="D111:N111">D36*$B111/100</f>
        <v>549105.48</v>
      </c>
      <c r="E111" s="344">
        <f t="shared" si="31"/>
        <v>680373.12</v>
      </c>
      <c r="F111" s="344">
        <f t="shared" si="31"/>
        <v>637849.8</v>
      </c>
      <c r="G111" s="344">
        <f t="shared" si="31"/>
        <v>682221.96</v>
      </c>
      <c r="H111" s="344">
        <f t="shared" si="31"/>
        <v>637849.8</v>
      </c>
      <c r="I111" s="344">
        <f t="shared" si="31"/>
        <v>682221.96</v>
      </c>
      <c r="J111" s="344">
        <f t="shared" si="31"/>
        <v>682221.96</v>
      </c>
      <c r="K111" s="344">
        <f t="shared" si="31"/>
        <v>637849.8</v>
      </c>
      <c r="L111" s="344">
        <f t="shared" si="31"/>
        <v>682221.96</v>
      </c>
      <c r="M111" s="344">
        <f t="shared" si="31"/>
        <v>637849.8</v>
      </c>
      <c r="N111" s="344">
        <f t="shared" si="31"/>
        <v>682221.96</v>
      </c>
      <c r="O111" s="344">
        <f>SUM(B111:N111)</f>
        <v>7874213.961999999</v>
      </c>
    </row>
    <row r="112" spans="1:15" ht="12.75">
      <c r="A112" s="378" t="s">
        <v>303</v>
      </c>
      <c r="B112" s="384">
        <f>(0.06226-0.005)*100</f>
        <v>5.726000000000001</v>
      </c>
      <c r="C112" s="344">
        <f>C36*$B112/100</f>
        <v>887415.4800000001</v>
      </c>
      <c r="D112" s="344">
        <f aca="true" t="shared" si="32" ref="D112:N112">D36*$B112/100</f>
        <v>714261.2400000001</v>
      </c>
      <c r="E112" s="344">
        <f t="shared" si="32"/>
        <v>885010.5600000002</v>
      </c>
      <c r="F112" s="344">
        <f t="shared" si="32"/>
        <v>829697.4000000001</v>
      </c>
      <c r="G112" s="344">
        <f t="shared" si="32"/>
        <v>887415.4800000001</v>
      </c>
      <c r="H112" s="344">
        <f t="shared" si="32"/>
        <v>829697.4000000001</v>
      </c>
      <c r="I112" s="344">
        <f t="shared" si="32"/>
        <v>887415.4800000001</v>
      </c>
      <c r="J112" s="344">
        <f t="shared" si="32"/>
        <v>887415.4800000001</v>
      </c>
      <c r="K112" s="344">
        <f t="shared" si="32"/>
        <v>829697.4000000001</v>
      </c>
      <c r="L112" s="344">
        <f t="shared" si="32"/>
        <v>887415.4800000001</v>
      </c>
      <c r="M112" s="344">
        <f t="shared" si="32"/>
        <v>829697.4000000001</v>
      </c>
      <c r="N112" s="344">
        <f t="shared" si="32"/>
        <v>887415.4800000001</v>
      </c>
      <c r="O112" s="344">
        <f>SUM(B112:N112)</f>
        <v>10242560.006000003</v>
      </c>
    </row>
    <row r="113" spans="1:15" ht="12.75">
      <c r="A113" s="378" t="s">
        <v>74</v>
      </c>
      <c r="B113" s="383"/>
      <c r="C113" s="344">
        <f>C111*'Monthly Fuel Cost Allocation'!$A$2+(1-'Monthly Fuel Cost Allocation'!$A$2)*'Data Inputs - 2011'!C112</f>
        <v>887415.4800000001</v>
      </c>
      <c r="D113" s="344">
        <f>D111*'Monthly Fuel Cost Allocation'!$A$2+(1-'Monthly Fuel Cost Allocation'!$A$2)*'Data Inputs - 2011'!D112</f>
        <v>714261.2400000001</v>
      </c>
      <c r="E113" s="344">
        <f>E111*'Monthly Fuel Cost Allocation'!$A$2+(1-'Monthly Fuel Cost Allocation'!$A$2)*'Data Inputs - 2011'!E112</f>
        <v>885010.5600000002</v>
      </c>
      <c r="F113" s="344">
        <f>F111*'Monthly Fuel Cost Allocation'!$A$2+(1-'Monthly Fuel Cost Allocation'!$A$2)*'Data Inputs - 2011'!F112</f>
        <v>829697.4000000001</v>
      </c>
      <c r="G113" s="344">
        <f>G111*'Monthly Fuel Cost Allocation'!$A$2+(1-'Monthly Fuel Cost Allocation'!$A$2)*'Data Inputs - 2011'!G112</f>
        <v>887415.4800000001</v>
      </c>
      <c r="H113" s="344">
        <f>H111*'Monthly Fuel Cost Allocation'!$A$2+(1-'Monthly Fuel Cost Allocation'!$A$2)*'Data Inputs - 2011'!H112</f>
        <v>829697.4000000001</v>
      </c>
      <c r="I113" s="344">
        <f>I111*'Monthly Fuel Cost Allocation'!$A$2+(1-'Monthly Fuel Cost Allocation'!$A$2)*'Data Inputs - 2011'!I112</f>
        <v>887415.4800000001</v>
      </c>
      <c r="J113" s="344">
        <f>J111*'Monthly Fuel Cost Allocation'!$A$2+(1-'Monthly Fuel Cost Allocation'!$A$2)*'Data Inputs - 2011'!J112</f>
        <v>887415.4800000001</v>
      </c>
      <c r="K113" s="344">
        <f>K111*'Monthly Fuel Cost Allocation'!$A$2+(1-'Monthly Fuel Cost Allocation'!$A$2)*'Data Inputs - 2011'!K112</f>
        <v>829697.4000000001</v>
      </c>
      <c r="L113" s="344">
        <f>L111*'Monthly Fuel Cost Allocation'!$A$2+(1-'Monthly Fuel Cost Allocation'!$A$2)*'Data Inputs - 2011'!L112</f>
        <v>887415.4800000001</v>
      </c>
      <c r="M113" s="344">
        <f>M111*'Monthly Fuel Cost Allocation'!$A$2+(1-'Monthly Fuel Cost Allocation'!$A$2)*'Data Inputs - 2011'!M112</f>
        <v>829697.4000000001</v>
      </c>
      <c r="N113" s="344">
        <f>N111*'Monthly Fuel Cost Allocation'!$A$2+(1-'Monthly Fuel Cost Allocation'!$A$2)*'Data Inputs - 2011'!N112</f>
        <v>887415.4800000001</v>
      </c>
      <c r="O113" s="344">
        <f t="shared" si="19"/>
        <v>10242554.280000003</v>
      </c>
    </row>
    <row r="114" spans="1:15" ht="12.75">
      <c r="A114" s="378" t="s">
        <v>57</v>
      </c>
      <c r="B114" s="383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>
        <f t="shared" si="19"/>
        <v>0</v>
      </c>
    </row>
    <row r="115" spans="1:15" ht="12.75">
      <c r="A115" s="378" t="s">
        <v>253</v>
      </c>
      <c r="B115" s="383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>
        <f t="shared" si="19"/>
        <v>0</v>
      </c>
    </row>
    <row r="116" spans="1:15" ht="12.75">
      <c r="A116" s="378" t="s">
        <v>254</v>
      </c>
      <c r="B116" s="383">
        <v>4.402281525732912</v>
      </c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>
        <f t="shared" si="19"/>
        <v>4.402281525732912</v>
      </c>
    </row>
    <row r="117" spans="1:15" ht="12.75">
      <c r="A117" s="378" t="s">
        <v>106</v>
      </c>
      <c r="B117" s="383"/>
      <c r="C117" s="344">
        <f>SUM(C113:C116)</f>
        <v>887415.4800000001</v>
      </c>
      <c r="D117" s="344">
        <f aca="true" t="shared" si="33" ref="D117:N117">SUM(D113:D116)</f>
        <v>714261.2400000001</v>
      </c>
      <c r="E117" s="344">
        <f t="shared" si="33"/>
        <v>885010.5600000002</v>
      </c>
      <c r="F117" s="344">
        <f t="shared" si="33"/>
        <v>829697.4000000001</v>
      </c>
      <c r="G117" s="344">
        <f t="shared" si="33"/>
        <v>887415.4800000001</v>
      </c>
      <c r="H117" s="344">
        <f t="shared" si="33"/>
        <v>829697.4000000001</v>
      </c>
      <c r="I117" s="344">
        <f t="shared" si="33"/>
        <v>887415.4800000001</v>
      </c>
      <c r="J117" s="344">
        <f t="shared" si="33"/>
        <v>887415.4800000001</v>
      </c>
      <c r="K117" s="344">
        <f t="shared" si="33"/>
        <v>829697.4000000001</v>
      </c>
      <c r="L117" s="344">
        <f t="shared" si="33"/>
        <v>887415.4800000001</v>
      </c>
      <c r="M117" s="344">
        <f t="shared" si="33"/>
        <v>829697.4000000001</v>
      </c>
      <c r="N117" s="344">
        <f t="shared" si="33"/>
        <v>887415.4800000001</v>
      </c>
      <c r="O117" s="344">
        <f t="shared" si="19"/>
        <v>10242554.280000003</v>
      </c>
    </row>
    <row r="118" spans="1:15" ht="12.75">
      <c r="A118" s="378"/>
      <c r="B118" s="383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>
        <f t="shared" si="19"/>
        <v>0</v>
      </c>
    </row>
    <row r="119" spans="1:15" ht="12.75">
      <c r="A119" s="378" t="s">
        <v>44</v>
      </c>
      <c r="B119" s="383"/>
      <c r="C119" s="344">
        <f aca="true" t="shared" si="34" ref="C119:O119">C117+C108</f>
        <v>54045514.474976696</v>
      </c>
      <c r="D119" s="344">
        <f t="shared" si="34"/>
        <v>49980867.91913022</v>
      </c>
      <c r="E119" s="344">
        <f t="shared" si="34"/>
        <v>51041327.27298305</v>
      </c>
      <c r="F119" s="344">
        <f t="shared" si="34"/>
        <v>43605886.06053349</v>
      </c>
      <c r="G119" s="344">
        <f t="shared" si="34"/>
        <v>42141672.862733066</v>
      </c>
      <c r="H119" s="344">
        <f t="shared" si="34"/>
        <v>38892909.941961855</v>
      </c>
      <c r="I119" s="344">
        <f t="shared" si="34"/>
        <v>39491660.89705119</v>
      </c>
      <c r="J119" s="344">
        <f t="shared" si="34"/>
        <v>39120281.33784406</v>
      </c>
      <c r="K119" s="344">
        <f t="shared" si="34"/>
        <v>36080289.11426827</v>
      </c>
      <c r="L119" s="344">
        <f t="shared" si="34"/>
        <v>35608759.042635396</v>
      </c>
      <c r="M119" s="344">
        <f t="shared" si="34"/>
        <v>38692554.79332273</v>
      </c>
      <c r="N119" s="344">
        <f t="shared" si="34"/>
        <v>45973966.5164185</v>
      </c>
      <c r="O119" s="344">
        <f t="shared" si="34"/>
        <v>514675731.60385853</v>
      </c>
    </row>
    <row r="120" spans="3:15" ht="12.75">
      <c r="C120" s="346"/>
      <c r="D120" s="346"/>
      <c r="E120" s="346"/>
      <c r="F120" s="346"/>
      <c r="G120" s="346"/>
      <c r="H120" s="346"/>
      <c r="I120" s="346"/>
      <c r="J120" s="346"/>
      <c r="K120" s="346"/>
      <c r="L120" s="346"/>
      <c r="M120" s="346"/>
      <c r="N120" s="346"/>
      <c r="O120" s="346"/>
    </row>
    <row r="121" spans="1:15" ht="12.75">
      <c r="A121" s="314" t="s">
        <v>265</v>
      </c>
      <c r="C121" s="346"/>
      <c r="D121" s="346"/>
      <c r="E121" s="346"/>
      <c r="F121" s="346"/>
      <c r="G121" s="346"/>
      <c r="H121" s="346"/>
      <c r="I121" s="346"/>
      <c r="J121" s="346"/>
      <c r="K121" s="346"/>
      <c r="L121" s="346"/>
      <c r="M121" s="346"/>
      <c r="N121" s="346"/>
      <c r="O121" s="346"/>
    </row>
    <row r="122" spans="3:15" ht="12.75">
      <c r="C122" s="346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</row>
    <row r="123" spans="1:15" ht="12.75">
      <c r="A123" s="314" t="s">
        <v>39</v>
      </c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</row>
    <row r="124" spans="1:15" ht="12.75">
      <c r="A124" s="321" t="s">
        <v>95</v>
      </c>
      <c r="C124" s="344">
        <f aca="true" t="shared" si="35" ref="C124:O124">+C68-C98</f>
        <v>0</v>
      </c>
      <c r="D124" s="344">
        <f t="shared" si="35"/>
        <v>0</v>
      </c>
      <c r="E124" s="344">
        <f t="shared" si="35"/>
        <v>0</v>
      </c>
      <c r="F124" s="344">
        <f t="shared" si="35"/>
        <v>0</v>
      </c>
      <c r="G124" s="344">
        <f t="shared" si="35"/>
        <v>0</v>
      </c>
      <c r="H124" s="344">
        <f t="shared" si="35"/>
        <v>0</v>
      </c>
      <c r="I124" s="344">
        <f t="shared" si="35"/>
        <v>0</v>
      </c>
      <c r="J124" s="344">
        <f t="shared" si="35"/>
        <v>0</v>
      </c>
      <c r="K124" s="344">
        <f t="shared" si="35"/>
        <v>0</v>
      </c>
      <c r="L124" s="344">
        <f t="shared" si="35"/>
        <v>0</v>
      </c>
      <c r="M124" s="344">
        <f t="shared" si="35"/>
        <v>0</v>
      </c>
      <c r="N124" s="344">
        <f t="shared" si="35"/>
        <v>0</v>
      </c>
      <c r="O124" s="344">
        <f t="shared" si="35"/>
        <v>0</v>
      </c>
    </row>
    <row r="125" spans="1:15" ht="12.75">
      <c r="A125" s="269" t="s">
        <v>46</v>
      </c>
      <c r="C125" s="344">
        <f aca="true" t="shared" si="36" ref="C125:O125">+C69-C99</f>
        <v>0</v>
      </c>
      <c r="D125" s="344">
        <f t="shared" si="36"/>
        <v>0</v>
      </c>
      <c r="E125" s="344">
        <f t="shared" si="36"/>
        <v>0</v>
      </c>
      <c r="F125" s="344">
        <f t="shared" si="36"/>
        <v>0</v>
      </c>
      <c r="G125" s="344">
        <f t="shared" si="36"/>
        <v>0</v>
      </c>
      <c r="H125" s="344">
        <f t="shared" si="36"/>
        <v>0</v>
      </c>
      <c r="I125" s="344">
        <f t="shared" si="36"/>
        <v>0</v>
      </c>
      <c r="J125" s="344">
        <f t="shared" si="36"/>
        <v>0</v>
      </c>
      <c r="K125" s="344">
        <f t="shared" si="36"/>
        <v>0</v>
      </c>
      <c r="L125" s="344">
        <f t="shared" si="36"/>
        <v>0</v>
      </c>
      <c r="M125" s="344">
        <f t="shared" si="36"/>
        <v>0</v>
      </c>
      <c r="N125" s="344">
        <f t="shared" si="36"/>
        <v>0</v>
      </c>
      <c r="O125" s="373">
        <f t="shared" si="36"/>
        <v>-4.876000000163913</v>
      </c>
    </row>
    <row r="126" spans="1:15" ht="12.75">
      <c r="A126" s="269" t="s">
        <v>47</v>
      </c>
      <c r="C126" s="344">
        <f aca="true" t="shared" si="37" ref="C126:O126">+C70-C100</f>
        <v>0</v>
      </c>
      <c r="D126" s="344">
        <f t="shared" si="37"/>
        <v>0</v>
      </c>
      <c r="E126" s="344">
        <f t="shared" si="37"/>
        <v>0</v>
      </c>
      <c r="F126" s="344">
        <f t="shared" si="37"/>
        <v>0</v>
      </c>
      <c r="G126" s="344">
        <f t="shared" si="37"/>
        <v>0</v>
      </c>
      <c r="H126" s="344">
        <f t="shared" si="37"/>
        <v>0</v>
      </c>
      <c r="I126" s="344">
        <f t="shared" si="37"/>
        <v>0</v>
      </c>
      <c r="J126" s="344">
        <f t="shared" si="37"/>
        <v>0</v>
      </c>
      <c r="K126" s="344">
        <f t="shared" si="37"/>
        <v>0</v>
      </c>
      <c r="L126" s="344">
        <f t="shared" si="37"/>
        <v>0</v>
      </c>
      <c r="M126" s="344">
        <f t="shared" si="37"/>
        <v>0</v>
      </c>
      <c r="N126" s="344">
        <f t="shared" si="37"/>
        <v>0</v>
      </c>
      <c r="O126" s="373">
        <f t="shared" si="37"/>
        <v>-4.943000003695488</v>
      </c>
    </row>
    <row r="127" spans="1:15" ht="12.75">
      <c r="A127" s="269" t="s">
        <v>48</v>
      </c>
      <c r="C127" s="344">
        <f aca="true" t="shared" si="38" ref="C127:O127">+C71-C101</f>
        <v>0</v>
      </c>
      <c r="D127" s="344">
        <f t="shared" si="38"/>
        <v>0</v>
      </c>
      <c r="E127" s="344">
        <f t="shared" si="38"/>
        <v>0</v>
      </c>
      <c r="F127" s="344">
        <f t="shared" si="38"/>
        <v>0</v>
      </c>
      <c r="G127" s="344">
        <f t="shared" si="38"/>
        <v>0</v>
      </c>
      <c r="H127" s="344">
        <f t="shared" si="38"/>
        <v>0</v>
      </c>
      <c r="I127" s="344">
        <f t="shared" si="38"/>
        <v>0</v>
      </c>
      <c r="J127" s="344">
        <f t="shared" si="38"/>
        <v>0</v>
      </c>
      <c r="K127" s="344">
        <f t="shared" si="38"/>
        <v>0</v>
      </c>
      <c r="L127" s="344">
        <f t="shared" si="38"/>
        <v>0</v>
      </c>
      <c r="M127" s="344">
        <f t="shared" si="38"/>
        <v>0</v>
      </c>
      <c r="N127" s="344">
        <f t="shared" si="38"/>
        <v>0</v>
      </c>
      <c r="O127" s="373">
        <f t="shared" si="38"/>
        <v>-4.5410000048577785</v>
      </c>
    </row>
    <row r="128" spans="1:15" ht="12.75">
      <c r="A128" s="269" t="s">
        <v>49</v>
      </c>
      <c r="C128" s="344">
        <f aca="true" t="shared" si="39" ref="C128:O128">+C72-C102</f>
        <v>0</v>
      </c>
      <c r="D128" s="344">
        <f t="shared" si="39"/>
        <v>0</v>
      </c>
      <c r="E128" s="344">
        <f t="shared" si="39"/>
        <v>0</v>
      </c>
      <c r="F128" s="344">
        <f t="shared" si="39"/>
        <v>0</v>
      </c>
      <c r="G128" s="344">
        <f t="shared" si="39"/>
        <v>0</v>
      </c>
      <c r="H128" s="344">
        <f t="shared" si="39"/>
        <v>0</v>
      </c>
      <c r="I128" s="344">
        <f t="shared" si="39"/>
        <v>0</v>
      </c>
      <c r="J128" s="344">
        <f t="shared" si="39"/>
        <v>0</v>
      </c>
      <c r="K128" s="344">
        <f t="shared" si="39"/>
        <v>0</v>
      </c>
      <c r="L128" s="344">
        <f t="shared" si="39"/>
        <v>0</v>
      </c>
      <c r="M128" s="344">
        <f t="shared" si="39"/>
        <v>0</v>
      </c>
      <c r="N128" s="344">
        <f t="shared" si="39"/>
        <v>0</v>
      </c>
      <c r="O128" s="373">
        <f t="shared" si="39"/>
        <v>-4.667999999597669</v>
      </c>
    </row>
    <row r="129" spans="1:15" ht="12.75">
      <c r="A129" s="269" t="s">
        <v>50</v>
      </c>
      <c r="C129" s="344">
        <f aca="true" t="shared" si="40" ref="C129:O129">+C73-C103</f>
        <v>0</v>
      </c>
      <c r="D129" s="344">
        <f t="shared" si="40"/>
        <v>0</v>
      </c>
      <c r="E129" s="344">
        <f t="shared" si="40"/>
        <v>0</v>
      </c>
      <c r="F129" s="344">
        <f t="shared" si="40"/>
        <v>0</v>
      </c>
      <c r="G129" s="344">
        <f t="shared" si="40"/>
        <v>0</v>
      </c>
      <c r="H129" s="344">
        <f t="shared" si="40"/>
        <v>0</v>
      </c>
      <c r="I129" s="344">
        <f t="shared" si="40"/>
        <v>0</v>
      </c>
      <c r="J129" s="344">
        <f t="shared" si="40"/>
        <v>0</v>
      </c>
      <c r="K129" s="344">
        <f t="shared" si="40"/>
        <v>0</v>
      </c>
      <c r="L129" s="344">
        <f t="shared" si="40"/>
        <v>0</v>
      </c>
      <c r="M129" s="344">
        <f t="shared" si="40"/>
        <v>0</v>
      </c>
      <c r="N129" s="344">
        <f t="shared" si="40"/>
        <v>0</v>
      </c>
      <c r="O129" s="373">
        <f t="shared" si="40"/>
        <v>-4.592999998480082</v>
      </c>
    </row>
    <row r="130" spans="1:15" ht="12.75">
      <c r="A130" s="269" t="s">
        <v>51</v>
      </c>
      <c r="C130" s="344">
        <f aca="true" t="shared" si="41" ref="C130:O130">+C74-C104</f>
        <v>0</v>
      </c>
      <c r="D130" s="344">
        <f t="shared" si="41"/>
        <v>0</v>
      </c>
      <c r="E130" s="344">
        <f t="shared" si="41"/>
        <v>0</v>
      </c>
      <c r="F130" s="344">
        <f t="shared" si="41"/>
        <v>0</v>
      </c>
      <c r="G130" s="344">
        <f t="shared" si="41"/>
        <v>0</v>
      </c>
      <c r="H130" s="344">
        <f t="shared" si="41"/>
        <v>0</v>
      </c>
      <c r="I130" s="344">
        <f t="shared" si="41"/>
        <v>0</v>
      </c>
      <c r="J130" s="344">
        <f t="shared" si="41"/>
        <v>0</v>
      </c>
      <c r="K130" s="344">
        <f t="shared" si="41"/>
        <v>0</v>
      </c>
      <c r="L130" s="344">
        <f t="shared" si="41"/>
        <v>0</v>
      </c>
      <c r="M130" s="344">
        <f t="shared" si="41"/>
        <v>0</v>
      </c>
      <c r="N130" s="344">
        <f t="shared" si="41"/>
        <v>0</v>
      </c>
      <c r="O130" s="373">
        <f t="shared" si="41"/>
        <v>-4.401999995112419</v>
      </c>
    </row>
    <row r="131" spans="1:15" ht="12.75">
      <c r="A131" s="269" t="s">
        <v>55</v>
      </c>
      <c r="C131" s="373">
        <f aca="true" t="shared" si="42" ref="C131:N131">+C75-C105</f>
        <v>-7414.961070000194</v>
      </c>
      <c r="D131" s="373">
        <f t="shared" si="42"/>
        <v>-22676.845949999057</v>
      </c>
      <c r="E131" s="373">
        <f t="shared" si="42"/>
        <v>-8530.565339999273</v>
      </c>
      <c r="F131" s="344">
        <f t="shared" si="42"/>
        <v>0</v>
      </c>
      <c r="G131" s="373">
        <f t="shared" si="42"/>
        <v>-144.7861800007522</v>
      </c>
      <c r="H131" s="373">
        <f t="shared" si="42"/>
        <v>-77301.44531999901</v>
      </c>
      <c r="I131" s="373">
        <f t="shared" si="42"/>
        <v>-21458.382000000216</v>
      </c>
      <c r="J131" s="373">
        <f t="shared" si="42"/>
        <v>-30590.412930000573</v>
      </c>
      <c r="K131" s="373">
        <f t="shared" si="42"/>
        <v>-7896.796379999258</v>
      </c>
      <c r="L131" s="373">
        <f t="shared" si="42"/>
        <v>-150295.16237999988</v>
      </c>
      <c r="M131" s="344">
        <f t="shared" si="42"/>
        <v>0</v>
      </c>
      <c r="N131" s="344">
        <f t="shared" si="42"/>
        <v>0</v>
      </c>
      <c r="O131" s="373">
        <f>+O75-O105</f>
        <v>-326313.3505499959</v>
      </c>
    </row>
    <row r="132" spans="1:15" ht="12.75">
      <c r="A132" s="269" t="s">
        <v>52</v>
      </c>
      <c r="C132" s="344">
        <f aca="true" t="shared" si="43" ref="C132:O132">+C76-C106</f>
        <v>0</v>
      </c>
      <c r="D132" s="344">
        <f t="shared" si="43"/>
        <v>0</v>
      </c>
      <c r="E132" s="344">
        <f t="shared" si="43"/>
        <v>0</v>
      </c>
      <c r="F132" s="344">
        <f t="shared" si="43"/>
        <v>0</v>
      </c>
      <c r="G132" s="344">
        <f t="shared" si="43"/>
        <v>0</v>
      </c>
      <c r="H132" s="344">
        <f t="shared" si="43"/>
        <v>0</v>
      </c>
      <c r="I132" s="344">
        <f t="shared" si="43"/>
        <v>0</v>
      </c>
      <c r="J132" s="344">
        <f t="shared" si="43"/>
        <v>0</v>
      </c>
      <c r="K132" s="344">
        <f t="shared" si="43"/>
        <v>0</v>
      </c>
      <c r="L132" s="344">
        <f t="shared" si="43"/>
        <v>0</v>
      </c>
      <c r="M132" s="344">
        <f t="shared" si="43"/>
        <v>0</v>
      </c>
      <c r="N132" s="344">
        <f t="shared" si="43"/>
        <v>0</v>
      </c>
      <c r="O132" s="373">
        <f t="shared" si="43"/>
        <v>-4.538000002503395</v>
      </c>
    </row>
    <row r="133" spans="1:15" ht="12.75">
      <c r="A133" s="269" t="s">
        <v>53</v>
      </c>
      <c r="C133" s="344">
        <f aca="true" t="shared" si="44" ref="C133:O133">+C77-C107</f>
        <v>0</v>
      </c>
      <c r="D133" s="344">
        <f t="shared" si="44"/>
        <v>0</v>
      </c>
      <c r="E133" s="344">
        <f t="shared" si="44"/>
        <v>0</v>
      </c>
      <c r="F133" s="344">
        <f t="shared" si="44"/>
        <v>0</v>
      </c>
      <c r="G133" s="344">
        <f t="shared" si="44"/>
        <v>0</v>
      </c>
      <c r="H133" s="344">
        <f t="shared" si="44"/>
        <v>0</v>
      </c>
      <c r="I133" s="344">
        <f t="shared" si="44"/>
        <v>0</v>
      </c>
      <c r="J133" s="373">
        <f t="shared" si="44"/>
        <v>0</v>
      </c>
      <c r="K133" s="344">
        <f t="shared" si="44"/>
        <v>0</v>
      </c>
      <c r="L133" s="344">
        <f t="shared" si="44"/>
        <v>0</v>
      </c>
      <c r="M133" s="344">
        <f t="shared" si="44"/>
        <v>0</v>
      </c>
      <c r="N133" s="344">
        <f t="shared" si="44"/>
        <v>0</v>
      </c>
      <c r="O133" s="373">
        <f t="shared" si="44"/>
        <v>-4.815999999642372</v>
      </c>
    </row>
    <row r="134" spans="1:15" ht="12.75">
      <c r="A134" s="269" t="s">
        <v>106</v>
      </c>
      <c r="C134" s="373">
        <f aca="true" t="shared" si="45" ref="C134:O134">+C78-C108</f>
        <v>-7414.961069993675</v>
      </c>
      <c r="D134" s="373">
        <f t="shared" si="45"/>
        <v>-22676.845949999988</v>
      </c>
      <c r="E134" s="373">
        <f t="shared" si="45"/>
        <v>-8530.565340004861</v>
      </c>
      <c r="F134" s="344">
        <f t="shared" si="45"/>
        <v>0</v>
      </c>
      <c r="G134" s="373">
        <f t="shared" si="45"/>
        <v>-144.78617999702692</v>
      </c>
      <c r="H134" s="373">
        <f t="shared" si="45"/>
        <v>-77301.44532000273</v>
      </c>
      <c r="I134" s="373">
        <f t="shared" si="45"/>
        <v>-21458.381999999285</v>
      </c>
      <c r="J134" s="373">
        <f t="shared" si="45"/>
        <v>-30590.4129300043</v>
      </c>
      <c r="K134" s="373">
        <f t="shared" si="45"/>
        <v>-7896.796379998326</v>
      </c>
      <c r="L134" s="373">
        <f t="shared" si="45"/>
        <v>-150295.16238000244</v>
      </c>
      <c r="M134" s="344">
        <f t="shared" si="45"/>
        <v>0</v>
      </c>
      <c r="N134" s="344">
        <f t="shared" si="45"/>
        <v>0</v>
      </c>
      <c r="O134" s="373">
        <f t="shared" si="45"/>
        <v>-326350.72754991055</v>
      </c>
    </row>
    <row r="135" spans="3:15" ht="12.75"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</row>
    <row r="136" spans="1:15" ht="12.75">
      <c r="A136" s="382" t="s">
        <v>91</v>
      </c>
      <c r="B136" s="378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</row>
    <row r="137" spans="1:15" ht="12.75">
      <c r="A137" s="378" t="s">
        <v>74</v>
      </c>
      <c r="B137" s="378"/>
      <c r="C137" s="344">
        <f aca="true" t="shared" si="46" ref="C137:O137">+C83-C113</f>
        <v>0</v>
      </c>
      <c r="D137" s="344">
        <f t="shared" si="46"/>
        <v>0</v>
      </c>
      <c r="E137" s="344">
        <f t="shared" si="46"/>
        <v>0</v>
      </c>
      <c r="F137" s="344">
        <f t="shared" si="46"/>
        <v>0</v>
      </c>
      <c r="G137" s="344">
        <f t="shared" si="46"/>
        <v>0</v>
      </c>
      <c r="H137" s="344">
        <f t="shared" si="46"/>
        <v>0</v>
      </c>
      <c r="I137" s="344">
        <f t="shared" si="46"/>
        <v>0</v>
      </c>
      <c r="J137" s="344">
        <f t="shared" si="46"/>
        <v>0</v>
      </c>
      <c r="K137" s="344">
        <f t="shared" si="46"/>
        <v>0</v>
      </c>
      <c r="L137" s="344">
        <f t="shared" si="46"/>
        <v>0</v>
      </c>
      <c r="M137" s="344">
        <f t="shared" si="46"/>
        <v>0</v>
      </c>
      <c r="N137" s="344">
        <f t="shared" si="46"/>
        <v>0</v>
      </c>
      <c r="O137" s="344">
        <f t="shared" si="46"/>
        <v>0</v>
      </c>
    </row>
    <row r="138" spans="1:15" ht="12.75">
      <c r="A138" s="378" t="s">
        <v>57</v>
      </c>
      <c r="B138" s="378"/>
      <c r="C138" s="344">
        <f aca="true" t="shared" si="47" ref="C138:O138">+C84-C114</f>
        <v>0</v>
      </c>
      <c r="D138" s="344">
        <f t="shared" si="47"/>
        <v>0</v>
      </c>
      <c r="E138" s="344">
        <f t="shared" si="47"/>
        <v>0</v>
      </c>
      <c r="F138" s="344">
        <f t="shared" si="47"/>
        <v>0</v>
      </c>
      <c r="G138" s="344">
        <f t="shared" si="47"/>
        <v>0</v>
      </c>
      <c r="H138" s="344">
        <f t="shared" si="47"/>
        <v>0</v>
      </c>
      <c r="I138" s="344">
        <f t="shared" si="47"/>
        <v>0</v>
      </c>
      <c r="J138" s="344">
        <f t="shared" si="47"/>
        <v>0</v>
      </c>
      <c r="K138" s="344">
        <f t="shared" si="47"/>
        <v>0</v>
      </c>
      <c r="L138" s="344">
        <f t="shared" si="47"/>
        <v>0</v>
      </c>
      <c r="M138" s="344">
        <f t="shared" si="47"/>
        <v>0</v>
      </c>
      <c r="N138" s="344">
        <f t="shared" si="47"/>
        <v>0</v>
      </c>
      <c r="O138" s="344">
        <f t="shared" si="47"/>
        <v>0</v>
      </c>
    </row>
    <row r="139" spans="1:15" ht="12.75">
      <c r="A139" s="378" t="s">
        <v>253</v>
      </c>
      <c r="B139" s="378"/>
      <c r="C139" s="344">
        <f aca="true" t="shared" si="48" ref="C139:O139">+C85-C115</f>
        <v>0</v>
      </c>
      <c r="D139" s="344">
        <f t="shared" si="48"/>
        <v>0</v>
      </c>
      <c r="E139" s="344">
        <f t="shared" si="48"/>
        <v>0</v>
      </c>
      <c r="F139" s="344">
        <f t="shared" si="48"/>
        <v>0</v>
      </c>
      <c r="G139" s="344">
        <f t="shared" si="48"/>
        <v>0</v>
      </c>
      <c r="H139" s="344">
        <f t="shared" si="48"/>
        <v>0</v>
      </c>
      <c r="I139" s="344">
        <f t="shared" si="48"/>
        <v>0</v>
      </c>
      <c r="J139" s="344">
        <f t="shared" si="48"/>
        <v>0</v>
      </c>
      <c r="K139" s="344">
        <f t="shared" si="48"/>
        <v>0</v>
      </c>
      <c r="L139" s="344">
        <f t="shared" si="48"/>
        <v>0</v>
      </c>
      <c r="M139" s="344">
        <f t="shared" si="48"/>
        <v>0</v>
      </c>
      <c r="N139" s="344">
        <f t="shared" si="48"/>
        <v>0</v>
      </c>
      <c r="O139" s="344">
        <f t="shared" si="48"/>
        <v>0</v>
      </c>
    </row>
    <row r="140" spans="1:15" ht="12.75">
      <c r="A140" s="378" t="s">
        <v>254</v>
      </c>
      <c r="B140" s="378"/>
      <c r="C140" s="344">
        <f aca="true" t="shared" si="49" ref="C140:O140">+C86-C116</f>
        <v>0</v>
      </c>
      <c r="D140" s="344">
        <f t="shared" si="49"/>
        <v>0</v>
      </c>
      <c r="E140" s="344">
        <f t="shared" si="49"/>
        <v>0</v>
      </c>
      <c r="F140" s="344">
        <f t="shared" si="49"/>
        <v>0</v>
      </c>
      <c r="G140" s="344">
        <f t="shared" si="49"/>
        <v>0</v>
      </c>
      <c r="H140" s="344">
        <f t="shared" si="49"/>
        <v>0</v>
      </c>
      <c r="I140" s="344">
        <f t="shared" si="49"/>
        <v>0</v>
      </c>
      <c r="J140" s="344">
        <f t="shared" si="49"/>
        <v>0</v>
      </c>
      <c r="K140" s="344">
        <f t="shared" si="49"/>
        <v>0</v>
      </c>
      <c r="L140" s="344">
        <f t="shared" si="49"/>
        <v>0</v>
      </c>
      <c r="M140" s="344">
        <f t="shared" si="49"/>
        <v>0</v>
      </c>
      <c r="N140" s="344">
        <f t="shared" si="49"/>
        <v>0</v>
      </c>
      <c r="O140" s="373">
        <f t="shared" si="49"/>
        <v>-4.402281525732912</v>
      </c>
    </row>
    <row r="141" spans="1:15" ht="12.75">
      <c r="A141" s="378" t="s">
        <v>106</v>
      </c>
      <c r="B141" s="378"/>
      <c r="C141" s="344">
        <f aca="true" t="shared" si="50" ref="C141:O141">+C87-C117</f>
        <v>0</v>
      </c>
      <c r="D141" s="344">
        <f t="shared" si="50"/>
        <v>0</v>
      </c>
      <c r="E141" s="344">
        <f t="shared" si="50"/>
        <v>0</v>
      </c>
      <c r="F141" s="344">
        <f t="shared" si="50"/>
        <v>0</v>
      </c>
      <c r="G141" s="344">
        <f t="shared" si="50"/>
        <v>0</v>
      </c>
      <c r="H141" s="344">
        <f t="shared" si="50"/>
        <v>0</v>
      </c>
      <c r="I141" s="344">
        <f t="shared" si="50"/>
        <v>0</v>
      </c>
      <c r="J141" s="344">
        <f t="shared" si="50"/>
        <v>0</v>
      </c>
      <c r="K141" s="344">
        <f t="shared" si="50"/>
        <v>0</v>
      </c>
      <c r="L141" s="344">
        <f t="shared" si="50"/>
        <v>0</v>
      </c>
      <c r="M141" s="344">
        <f t="shared" si="50"/>
        <v>0</v>
      </c>
      <c r="N141" s="344">
        <f t="shared" si="50"/>
        <v>0</v>
      </c>
      <c r="O141" s="344">
        <f t="shared" si="50"/>
        <v>0</v>
      </c>
    </row>
    <row r="142" spans="1:15" ht="12.75">
      <c r="A142" s="378"/>
      <c r="B142" s="378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</row>
    <row r="143" spans="1:15" ht="12.75">
      <c r="A143" s="378" t="s">
        <v>44</v>
      </c>
      <c r="B143" s="378"/>
      <c r="C143" s="373">
        <f aca="true" t="shared" si="51" ref="C143:O143">+C89-C119</f>
        <v>-7414.961069993675</v>
      </c>
      <c r="D143" s="373">
        <f t="shared" si="51"/>
        <v>-22676.845949999988</v>
      </c>
      <c r="E143" s="373">
        <f t="shared" si="51"/>
        <v>-8530.565340004861</v>
      </c>
      <c r="F143" s="344">
        <f t="shared" si="51"/>
        <v>0</v>
      </c>
      <c r="G143" s="373">
        <f t="shared" si="51"/>
        <v>-144.78617999702692</v>
      </c>
      <c r="H143" s="373">
        <f t="shared" si="51"/>
        <v>-77301.44532000273</v>
      </c>
      <c r="I143" s="373">
        <f t="shared" si="51"/>
        <v>-21458.381999999285</v>
      </c>
      <c r="J143" s="373">
        <f t="shared" si="51"/>
        <v>-30590.4129300043</v>
      </c>
      <c r="K143" s="373">
        <f t="shared" si="51"/>
        <v>-7896.796379998326</v>
      </c>
      <c r="L143" s="373">
        <f t="shared" si="51"/>
        <v>-150295.16238000244</v>
      </c>
      <c r="M143" s="344">
        <f t="shared" si="51"/>
        <v>0</v>
      </c>
      <c r="N143" s="344">
        <f t="shared" si="51"/>
        <v>0</v>
      </c>
      <c r="O143" s="373">
        <f t="shared" si="51"/>
        <v>-326350.72754997015</v>
      </c>
    </row>
    <row r="144" spans="1:2" ht="12.75">
      <c r="A144" s="378"/>
      <c r="B144" s="378"/>
    </row>
    <row r="146" ht="15.75">
      <c r="A146" s="341" t="s">
        <v>266</v>
      </c>
    </row>
    <row r="148" ht="12.75">
      <c r="A148" s="314" t="s">
        <v>39</v>
      </c>
    </row>
    <row r="149" spans="1:15" ht="12.75">
      <c r="A149" s="321" t="s">
        <v>93</v>
      </c>
      <c r="B149" s="343">
        <v>4.741</v>
      </c>
      <c r="C149" s="344">
        <f aca="true" t="shared" si="52" ref="C149:N149">C21*$B149/100</f>
        <v>23306629.936810013</v>
      </c>
      <c r="D149" s="344">
        <f t="shared" si="52"/>
        <v>21203509.441290002</v>
      </c>
      <c r="E149" s="344">
        <f t="shared" si="52"/>
        <v>20603608.19468463</v>
      </c>
      <c r="F149" s="344">
        <f t="shared" si="52"/>
        <v>16253604.088018727</v>
      </c>
      <c r="G149" s="344">
        <f t="shared" si="52"/>
        <v>15073761.20077392</v>
      </c>
      <c r="H149" s="344">
        <f t="shared" si="52"/>
        <v>12439196.743120395</v>
      </c>
      <c r="I149" s="344">
        <f t="shared" si="52"/>
        <v>12128734.577592209</v>
      </c>
      <c r="J149" s="344">
        <f t="shared" si="52"/>
        <v>12140206.026215054</v>
      </c>
      <c r="K149" s="344">
        <f t="shared" si="52"/>
        <v>12195081.628574848</v>
      </c>
      <c r="L149" s="344">
        <f t="shared" si="52"/>
        <v>13548512.627650438</v>
      </c>
      <c r="M149" s="344">
        <f t="shared" si="52"/>
        <v>15738831.136262394</v>
      </c>
      <c r="N149" s="344">
        <f t="shared" si="52"/>
        <v>20575761.722085003</v>
      </c>
      <c r="O149" s="344">
        <f>SUM(B149:N149)</f>
        <v>195207442.06407765</v>
      </c>
    </row>
    <row r="150" spans="1:15" ht="12.75">
      <c r="A150" s="321" t="s">
        <v>94</v>
      </c>
      <c r="B150" s="343">
        <v>4.741</v>
      </c>
      <c r="C150" s="344">
        <f aca="true" t="shared" si="53" ref="C150:N150">C22*$B150/100</f>
        <v>1163060.832562801</v>
      </c>
      <c r="D150" s="344">
        <f t="shared" si="53"/>
        <v>1118039.154061996</v>
      </c>
      <c r="E150" s="344">
        <f t="shared" si="53"/>
        <v>1116135.8953006691</v>
      </c>
      <c r="F150" s="344">
        <f t="shared" si="53"/>
        <v>903318.4323303618</v>
      </c>
      <c r="G150" s="344">
        <f t="shared" si="53"/>
        <v>643086.260868272</v>
      </c>
      <c r="H150" s="344">
        <f t="shared" si="53"/>
        <v>433378.36589271895</v>
      </c>
      <c r="I150" s="344">
        <f t="shared" si="53"/>
        <v>344375.46216947085</v>
      </c>
      <c r="J150" s="344">
        <f t="shared" si="53"/>
        <v>352801.14026652224</v>
      </c>
      <c r="K150" s="344">
        <f t="shared" si="53"/>
        <v>394800.662539372</v>
      </c>
      <c r="L150" s="344">
        <f t="shared" si="53"/>
        <v>532257.6929205063</v>
      </c>
      <c r="M150" s="344">
        <f t="shared" si="53"/>
        <v>810623.0979609273</v>
      </c>
      <c r="N150" s="344">
        <f t="shared" si="53"/>
        <v>1400612.9406799802</v>
      </c>
      <c r="O150" s="344">
        <f aca="true" t="shared" si="54" ref="O150:O160">SUM(B150:N150)</f>
        <v>9212494.678553596</v>
      </c>
    </row>
    <row r="151" spans="1:15" ht="12.75">
      <c r="A151" s="321" t="s">
        <v>95</v>
      </c>
      <c r="B151" s="343"/>
      <c r="C151" s="344">
        <f>SUM(C149:C150)</f>
        <v>24469690.769372813</v>
      </c>
      <c r="D151" s="344">
        <f aca="true" t="shared" si="55" ref="D151:N151">SUM(D149:D150)</f>
        <v>22321548.595351998</v>
      </c>
      <c r="E151" s="344">
        <f t="shared" si="55"/>
        <v>21719744.089985296</v>
      </c>
      <c r="F151" s="344">
        <f t="shared" si="55"/>
        <v>17156922.52034909</v>
      </c>
      <c r="G151" s="344">
        <f t="shared" si="55"/>
        <v>15716847.461642193</v>
      </c>
      <c r="H151" s="344">
        <f t="shared" si="55"/>
        <v>12872575.109013114</v>
      </c>
      <c r="I151" s="344">
        <f t="shared" si="55"/>
        <v>12473110.03976168</v>
      </c>
      <c r="J151" s="344">
        <f t="shared" si="55"/>
        <v>12493007.166481577</v>
      </c>
      <c r="K151" s="344">
        <f t="shared" si="55"/>
        <v>12589882.29111422</v>
      </c>
      <c r="L151" s="344">
        <f t="shared" si="55"/>
        <v>14080770.320570944</v>
      </c>
      <c r="M151" s="344">
        <f t="shared" si="55"/>
        <v>16549454.234223321</v>
      </c>
      <c r="N151" s="344">
        <f t="shared" si="55"/>
        <v>21976374.66276498</v>
      </c>
      <c r="O151" s="344">
        <f t="shared" si="54"/>
        <v>204419927.2606312</v>
      </c>
    </row>
    <row r="152" spans="1:15" ht="12.75">
      <c r="A152" s="269" t="s">
        <v>46</v>
      </c>
      <c r="B152" s="345">
        <v>4.876</v>
      </c>
      <c r="C152" s="344">
        <f aca="true" t="shared" si="56" ref="C152:N152">C24*$B152/100</f>
        <v>1221644.698034585</v>
      </c>
      <c r="D152" s="344">
        <f t="shared" si="56"/>
        <v>1167670.7832528146</v>
      </c>
      <c r="E152" s="344">
        <f t="shared" si="56"/>
        <v>1208191.2593976292</v>
      </c>
      <c r="F152" s="344">
        <f t="shared" si="56"/>
        <v>959286.1246334052</v>
      </c>
      <c r="G152" s="344">
        <f t="shared" si="56"/>
        <v>960838.4207354917</v>
      </c>
      <c r="H152" s="344">
        <f t="shared" si="56"/>
        <v>827640.0594663816</v>
      </c>
      <c r="I152" s="344">
        <f t="shared" si="56"/>
        <v>851849.2119732354</v>
      </c>
      <c r="J152" s="344">
        <f t="shared" si="56"/>
        <v>846270.8626731746</v>
      </c>
      <c r="K152" s="344">
        <f t="shared" si="56"/>
        <v>861993.2332645534</v>
      </c>
      <c r="L152" s="344">
        <f t="shared" si="56"/>
        <v>881382.9239393919</v>
      </c>
      <c r="M152" s="344">
        <f t="shared" si="56"/>
        <v>864893.4282572503</v>
      </c>
      <c r="N152" s="344">
        <f t="shared" si="56"/>
        <v>1080238.7046730607</v>
      </c>
      <c r="O152" s="344">
        <f t="shared" si="54"/>
        <v>11731904.586300973</v>
      </c>
    </row>
    <row r="153" spans="1:15" ht="12.75">
      <c r="A153" s="269" t="s">
        <v>47</v>
      </c>
      <c r="B153" s="345">
        <v>4.943</v>
      </c>
      <c r="C153" s="344">
        <f aca="true" t="shared" si="57" ref="C153:N153">C25*$B153/100</f>
        <v>11842411.67509675</v>
      </c>
      <c r="D153" s="344">
        <f t="shared" si="57"/>
        <v>11238833.397184303</v>
      </c>
      <c r="E153" s="344">
        <f t="shared" si="57"/>
        <v>11279162.902321653</v>
      </c>
      <c r="F153" s="344">
        <f t="shared" si="57"/>
        <v>9585376.544560703</v>
      </c>
      <c r="G153" s="344">
        <f t="shared" si="57"/>
        <v>9397130.776046855</v>
      </c>
      <c r="H153" s="344">
        <f t="shared" si="57"/>
        <v>9355382.856326697</v>
      </c>
      <c r="I153" s="344">
        <f t="shared" si="57"/>
        <v>9680137.964991445</v>
      </c>
      <c r="J153" s="344">
        <f t="shared" si="57"/>
        <v>9420782.630212152</v>
      </c>
      <c r="K153" s="344">
        <f t="shared" si="57"/>
        <v>9017452.703066628</v>
      </c>
      <c r="L153" s="344">
        <f t="shared" si="57"/>
        <v>9746290.698214618</v>
      </c>
      <c r="M153" s="344">
        <f t="shared" si="57"/>
        <v>9857458.711657891</v>
      </c>
      <c r="N153" s="344">
        <f t="shared" si="57"/>
        <v>11240103.374415625</v>
      </c>
      <c r="O153" s="344">
        <f t="shared" si="54"/>
        <v>121660529.17709534</v>
      </c>
    </row>
    <row r="154" spans="1:15" ht="12.75">
      <c r="A154" s="269" t="s">
        <v>48</v>
      </c>
      <c r="B154" s="345">
        <v>4.541</v>
      </c>
      <c r="C154" s="344">
        <f aca="true" t="shared" si="58" ref="C154:N154">C26*$B154/100</f>
        <v>1593734.6533700002</v>
      </c>
      <c r="D154" s="344">
        <f t="shared" si="58"/>
        <v>1397606.0479500003</v>
      </c>
      <c r="E154" s="344">
        <f t="shared" si="58"/>
        <v>1690377.53226</v>
      </c>
      <c r="F154" s="344">
        <f t="shared" si="58"/>
        <v>1471476.9925</v>
      </c>
      <c r="G154" s="344">
        <f t="shared" si="58"/>
        <v>1521463.5485300003</v>
      </c>
      <c r="H154" s="344">
        <f t="shared" si="58"/>
        <v>1504878.9991500003</v>
      </c>
      <c r="I154" s="344">
        <f t="shared" si="58"/>
        <v>1724188.6376000002</v>
      </c>
      <c r="J154" s="344">
        <f t="shared" si="58"/>
        <v>1743009.2207900002</v>
      </c>
      <c r="K154" s="344">
        <f t="shared" si="58"/>
        <v>1626190.90595</v>
      </c>
      <c r="L154" s="344">
        <f t="shared" si="58"/>
        <v>1582227.9864200002</v>
      </c>
      <c r="M154" s="344">
        <f t="shared" si="58"/>
        <v>1497213.4788622975</v>
      </c>
      <c r="N154" s="344">
        <f t="shared" si="58"/>
        <v>1501289.3301994447</v>
      </c>
      <c r="O154" s="344">
        <f t="shared" si="54"/>
        <v>18853661.874581747</v>
      </c>
    </row>
    <row r="155" spans="1:15" ht="12.75">
      <c r="A155" s="269" t="s">
        <v>49</v>
      </c>
      <c r="B155" s="345">
        <v>4.668</v>
      </c>
      <c r="C155" s="344">
        <f aca="true" t="shared" si="59" ref="C155:N155">C27*$B155/100</f>
        <v>1115284.5810863038</v>
      </c>
      <c r="D155" s="344">
        <f t="shared" si="59"/>
        <v>1035711.8926833511</v>
      </c>
      <c r="E155" s="344">
        <f t="shared" si="59"/>
        <v>1112058.459998268</v>
      </c>
      <c r="F155" s="344">
        <f t="shared" si="59"/>
        <v>944241.7883088816</v>
      </c>
      <c r="G155" s="344">
        <f t="shared" si="59"/>
        <v>972244.0778298416</v>
      </c>
      <c r="H155" s="344">
        <f t="shared" si="59"/>
        <v>946104.737197815</v>
      </c>
      <c r="I155" s="344">
        <f t="shared" si="59"/>
        <v>1076887.5147156576</v>
      </c>
      <c r="J155" s="344">
        <f t="shared" si="59"/>
        <v>882461.0250720043</v>
      </c>
      <c r="K155" s="344">
        <f t="shared" si="59"/>
        <v>991447.7919598653</v>
      </c>
      <c r="L155" s="344">
        <f t="shared" si="59"/>
        <v>775302.157495432</v>
      </c>
      <c r="M155" s="344">
        <f t="shared" si="59"/>
        <v>967075.5775004631</v>
      </c>
      <c r="N155" s="344">
        <f t="shared" si="59"/>
        <v>1121501.3439222344</v>
      </c>
      <c r="O155" s="344">
        <f t="shared" si="54"/>
        <v>11940325.615770118</v>
      </c>
    </row>
    <row r="156" spans="1:15" ht="12.75">
      <c r="A156" s="269" t="s">
        <v>50</v>
      </c>
      <c r="B156" s="345">
        <v>4.593</v>
      </c>
      <c r="C156" s="344">
        <f aca="true" t="shared" si="60" ref="C156:N156">C28*$B156/100</f>
        <v>1714965.0840067377</v>
      </c>
      <c r="D156" s="344">
        <f t="shared" si="60"/>
        <v>1780737.5859602657</v>
      </c>
      <c r="E156" s="344">
        <f t="shared" si="60"/>
        <v>1993044.716472032</v>
      </c>
      <c r="F156" s="344">
        <f t="shared" si="60"/>
        <v>1939204.7184727045</v>
      </c>
      <c r="G156" s="344">
        <f t="shared" si="60"/>
        <v>1757352.9690502104</v>
      </c>
      <c r="H156" s="344">
        <f t="shared" si="60"/>
        <v>1910593.7373242164</v>
      </c>
      <c r="I156" s="344">
        <f t="shared" si="60"/>
        <v>1901674.597496853</v>
      </c>
      <c r="J156" s="344">
        <f t="shared" si="60"/>
        <v>1838355.1828495678</v>
      </c>
      <c r="K156" s="344">
        <f t="shared" si="60"/>
        <v>1979279.1804151195</v>
      </c>
      <c r="L156" s="344">
        <f t="shared" si="60"/>
        <v>1919644.1211178913</v>
      </c>
      <c r="M156" s="344">
        <f t="shared" si="60"/>
        <v>1889382.34237993</v>
      </c>
      <c r="N156" s="344">
        <f t="shared" si="60"/>
        <v>1924673.9347406554</v>
      </c>
      <c r="O156" s="344">
        <f t="shared" si="54"/>
        <v>22548912.76328618</v>
      </c>
    </row>
    <row r="157" spans="1:15" ht="12.75">
      <c r="A157" s="269" t="s">
        <v>51</v>
      </c>
      <c r="B157" s="345">
        <v>4.402</v>
      </c>
      <c r="C157" s="344">
        <f aca="true" t="shared" si="61" ref="C157:N157">C29*$B157/100</f>
        <v>3407745.3267488005</v>
      </c>
      <c r="D157" s="344">
        <f t="shared" si="61"/>
        <v>3203562.8812736003</v>
      </c>
      <c r="E157" s="344">
        <f t="shared" si="61"/>
        <v>3413223.1865538</v>
      </c>
      <c r="F157" s="344">
        <f t="shared" si="61"/>
        <v>3328471.6016088002</v>
      </c>
      <c r="G157" s="344">
        <f t="shared" si="61"/>
        <v>3374065.5173400003</v>
      </c>
      <c r="H157" s="344">
        <f t="shared" si="61"/>
        <v>3409460.9965644004</v>
      </c>
      <c r="I157" s="344">
        <f t="shared" si="61"/>
        <v>3390069.6882580006</v>
      </c>
      <c r="J157" s="344">
        <f t="shared" si="61"/>
        <v>3495160.730490401</v>
      </c>
      <c r="K157" s="344">
        <f t="shared" si="61"/>
        <v>3558437.8328218</v>
      </c>
      <c r="L157" s="344">
        <f t="shared" si="61"/>
        <v>3411130.9872662</v>
      </c>
      <c r="M157" s="344">
        <f t="shared" si="61"/>
        <v>3494010.8479672708</v>
      </c>
      <c r="N157" s="344">
        <f t="shared" si="61"/>
        <v>3304629.998563088</v>
      </c>
      <c r="O157" s="344">
        <f t="shared" si="54"/>
        <v>40789973.997456156</v>
      </c>
    </row>
    <row r="158" spans="1:15" ht="12.75">
      <c r="A158" s="269" t="s">
        <v>55</v>
      </c>
      <c r="B158" s="345">
        <v>3.993</v>
      </c>
      <c r="C158" s="344">
        <f aca="true" t="shared" si="62" ref="C158:N158">C30*$B158/100</f>
        <v>6439132.24416</v>
      </c>
      <c r="D158" s="344">
        <f t="shared" si="62"/>
        <v>5815990.41408</v>
      </c>
      <c r="E158" s="344">
        <f t="shared" si="62"/>
        <v>6383040.65652</v>
      </c>
      <c r="F158" s="344">
        <f t="shared" si="62"/>
        <v>6231418.300799999</v>
      </c>
      <c r="G158" s="344">
        <f t="shared" si="62"/>
        <v>6439132.24416</v>
      </c>
      <c r="H158" s="344">
        <f t="shared" si="62"/>
        <v>6231418.300799999</v>
      </c>
      <c r="I158" s="344">
        <f t="shared" si="62"/>
        <v>6439132.24416</v>
      </c>
      <c r="J158" s="344">
        <f t="shared" si="62"/>
        <v>6439132.24416</v>
      </c>
      <c r="K158" s="344">
        <f t="shared" si="62"/>
        <v>3548641.3907999997</v>
      </c>
      <c r="L158" s="344">
        <f t="shared" si="62"/>
        <v>1184878.0284</v>
      </c>
      <c r="M158" s="344">
        <f t="shared" si="62"/>
        <v>1502109.1008000001</v>
      </c>
      <c r="N158" s="344">
        <f t="shared" si="62"/>
        <v>1552179.4041600002</v>
      </c>
      <c r="O158" s="344">
        <f t="shared" si="54"/>
        <v>58206208.56599999</v>
      </c>
    </row>
    <row r="159" spans="1:15" ht="12.75">
      <c r="A159" s="269" t="s">
        <v>52</v>
      </c>
      <c r="B159" s="345">
        <v>4.538</v>
      </c>
      <c r="C159" s="344">
        <f aca="true" t="shared" si="63" ref="C159:N159">C31*$B159/100</f>
        <v>926707.97508</v>
      </c>
      <c r="D159" s="344">
        <f t="shared" si="63"/>
        <v>875504.85886</v>
      </c>
      <c r="E159" s="344">
        <f t="shared" si="63"/>
        <v>879403.09162</v>
      </c>
      <c r="F159" s="344">
        <f t="shared" si="63"/>
        <v>715509.3189400001</v>
      </c>
      <c r="G159" s="344">
        <f t="shared" si="63"/>
        <v>638061.31504</v>
      </c>
      <c r="H159" s="344">
        <f t="shared" si="63"/>
        <v>574058.31602</v>
      </c>
      <c r="I159" s="344">
        <f t="shared" si="63"/>
        <v>617513.61408</v>
      </c>
      <c r="J159" s="344">
        <f t="shared" si="63"/>
        <v>615551.51902</v>
      </c>
      <c r="K159" s="344">
        <f t="shared" si="63"/>
        <v>601652.03344</v>
      </c>
      <c r="L159" s="344">
        <f t="shared" si="63"/>
        <v>692354.9000200001</v>
      </c>
      <c r="M159" s="344">
        <f t="shared" si="63"/>
        <v>758154.3119879089</v>
      </c>
      <c r="N159" s="344">
        <f t="shared" si="63"/>
        <v>899427.1217288959</v>
      </c>
      <c r="O159" s="344">
        <f t="shared" si="54"/>
        <v>8793902.913836805</v>
      </c>
    </row>
    <row r="160" spans="1:15" ht="12.75">
      <c r="A160" s="269" t="s">
        <v>53</v>
      </c>
      <c r="B160" s="345">
        <v>4.816</v>
      </c>
      <c r="C160" s="344">
        <f aca="true" t="shared" si="64" ref="C160:N160">C32*$B160/100</f>
        <v>426781.9880207152</v>
      </c>
      <c r="D160" s="344">
        <f t="shared" si="64"/>
        <v>429440.2225338909</v>
      </c>
      <c r="E160" s="344">
        <f t="shared" si="64"/>
        <v>478070.8178543765</v>
      </c>
      <c r="F160" s="344">
        <f t="shared" si="64"/>
        <v>444280.75035990425</v>
      </c>
      <c r="G160" s="344">
        <f t="shared" si="64"/>
        <v>477121.05235847906</v>
      </c>
      <c r="H160" s="344">
        <f t="shared" si="64"/>
        <v>431099.43009923084</v>
      </c>
      <c r="I160" s="344">
        <f t="shared" si="64"/>
        <v>449681.9040143365</v>
      </c>
      <c r="J160" s="344">
        <f t="shared" si="64"/>
        <v>459135.27609518036</v>
      </c>
      <c r="K160" s="344">
        <f t="shared" si="64"/>
        <v>475614.3514360836</v>
      </c>
      <c r="L160" s="344">
        <f t="shared" si="64"/>
        <v>447361.43919091945</v>
      </c>
      <c r="M160" s="344">
        <f t="shared" si="64"/>
        <v>483105.3596864064</v>
      </c>
      <c r="N160" s="344">
        <f t="shared" si="64"/>
        <v>486133.1612505143</v>
      </c>
      <c r="O160" s="344">
        <f t="shared" si="54"/>
        <v>5487830.568900037</v>
      </c>
    </row>
    <row r="161" spans="1:15" ht="12.75">
      <c r="A161" s="269" t="s">
        <v>106</v>
      </c>
      <c r="B161" s="345"/>
      <c r="C161" s="344">
        <f aca="true" t="shared" si="65" ref="C161:O161">SUM(C151:C160)</f>
        <v>53158098.9949767</v>
      </c>
      <c r="D161" s="344">
        <f t="shared" si="65"/>
        <v>49266606.67913022</v>
      </c>
      <c r="E161" s="344">
        <f t="shared" si="65"/>
        <v>50156316.71298305</v>
      </c>
      <c r="F161" s="344">
        <f t="shared" si="65"/>
        <v>42776188.66053349</v>
      </c>
      <c r="G161" s="344">
        <f t="shared" si="65"/>
        <v>41254257.38273307</v>
      </c>
      <c r="H161" s="344">
        <f t="shared" si="65"/>
        <v>38063212.541961856</v>
      </c>
      <c r="I161" s="344">
        <f t="shared" si="65"/>
        <v>38604245.417051196</v>
      </c>
      <c r="J161" s="344">
        <f t="shared" si="65"/>
        <v>38232865.85784406</v>
      </c>
      <c r="K161" s="344">
        <f t="shared" si="65"/>
        <v>35250591.714268275</v>
      </c>
      <c r="L161" s="344">
        <f t="shared" si="65"/>
        <v>34721343.5626354</v>
      </c>
      <c r="M161" s="344">
        <f t="shared" si="65"/>
        <v>37862857.39332273</v>
      </c>
      <c r="N161" s="344">
        <f t="shared" si="65"/>
        <v>45086551.036418505</v>
      </c>
      <c r="O161" s="344">
        <f t="shared" si="65"/>
        <v>504433177.3238585</v>
      </c>
    </row>
    <row r="162" spans="2:15" ht="12.75">
      <c r="B162" s="345"/>
      <c r="C162" s="344"/>
      <c r="D162" s="344"/>
      <c r="E162" s="344"/>
      <c r="F162" s="344"/>
      <c r="G162" s="344"/>
      <c r="H162" s="344"/>
      <c r="I162" s="344"/>
      <c r="J162" s="344"/>
      <c r="K162" s="344"/>
      <c r="L162" s="344"/>
      <c r="M162" s="344"/>
      <c r="N162" s="344"/>
      <c r="O162" s="344"/>
    </row>
    <row r="163" spans="1:15" ht="12.75">
      <c r="A163" s="382" t="s">
        <v>91</v>
      </c>
      <c r="B163" s="383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</row>
    <row r="164" spans="1:15" ht="12.75">
      <c r="A164" s="378" t="s">
        <v>302</v>
      </c>
      <c r="B164" s="383">
        <v>4.402</v>
      </c>
      <c r="C164" s="344">
        <f>C36*$B164/100</f>
        <v>682221.96</v>
      </c>
      <c r="D164" s="344">
        <f aca="true" t="shared" si="66" ref="D164:N164">D36*$B164/100</f>
        <v>549105.48</v>
      </c>
      <c r="E164" s="344">
        <f t="shared" si="66"/>
        <v>680373.12</v>
      </c>
      <c r="F164" s="344">
        <f t="shared" si="66"/>
        <v>637849.8</v>
      </c>
      <c r="G164" s="344">
        <f t="shared" si="66"/>
        <v>682221.96</v>
      </c>
      <c r="H164" s="344">
        <f t="shared" si="66"/>
        <v>637849.8</v>
      </c>
      <c r="I164" s="344">
        <f t="shared" si="66"/>
        <v>682221.96</v>
      </c>
      <c r="J164" s="344">
        <f t="shared" si="66"/>
        <v>682221.96</v>
      </c>
      <c r="K164" s="344">
        <f t="shared" si="66"/>
        <v>637849.8</v>
      </c>
      <c r="L164" s="344">
        <f t="shared" si="66"/>
        <v>682221.96</v>
      </c>
      <c r="M164" s="344">
        <f t="shared" si="66"/>
        <v>637849.8</v>
      </c>
      <c r="N164" s="344">
        <f t="shared" si="66"/>
        <v>682221.96</v>
      </c>
      <c r="O164" s="344">
        <f>SUM(B164:N164)</f>
        <v>7874213.961999999</v>
      </c>
    </row>
    <row r="165" spans="1:15" ht="12.75">
      <c r="A165" s="378" t="s">
        <v>303</v>
      </c>
      <c r="B165" s="383">
        <f>(0.06226-0.005)*100</f>
        <v>5.726000000000001</v>
      </c>
      <c r="C165" s="344">
        <f>C36*$B165/100</f>
        <v>887415.4800000001</v>
      </c>
      <c r="D165" s="344">
        <f aca="true" t="shared" si="67" ref="D165:N165">D36*$B165/100</f>
        <v>714261.2400000001</v>
      </c>
      <c r="E165" s="344">
        <f t="shared" si="67"/>
        <v>885010.5600000002</v>
      </c>
      <c r="F165" s="344">
        <f t="shared" si="67"/>
        <v>829697.4000000001</v>
      </c>
      <c r="G165" s="344">
        <f t="shared" si="67"/>
        <v>887415.4800000001</v>
      </c>
      <c r="H165" s="344">
        <f t="shared" si="67"/>
        <v>829697.4000000001</v>
      </c>
      <c r="I165" s="344">
        <f t="shared" si="67"/>
        <v>887415.4800000001</v>
      </c>
      <c r="J165" s="344">
        <f t="shared" si="67"/>
        <v>887415.4800000001</v>
      </c>
      <c r="K165" s="344">
        <f t="shared" si="67"/>
        <v>829697.4000000001</v>
      </c>
      <c r="L165" s="344">
        <f t="shared" si="67"/>
        <v>887415.4800000001</v>
      </c>
      <c r="M165" s="344">
        <f t="shared" si="67"/>
        <v>829697.4000000001</v>
      </c>
      <c r="N165" s="344">
        <f t="shared" si="67"/>
        <v>887415.4800000001</v>
      </c>
      <c r="O165" s="344">
        <f>SUM(B165:N165)</f>
        <v>10242560.006000003</v>
      </c>
    </row>
    <row r="166" spans="1:15" ht="12.75">
      <c r="A166" s="378" t="s">
        <v>74</v>
      </c>
      <c r="B166" s="383"/>
      <c r="C166" s="344">
        <f>C164*'Monthly Fuel Cost Allocation'!$A$2+(1-'Monthly Fuel Cost Allocation'!$A$2)*'Data Inputs - 2011'!C165</f>
        <v>887415.4800000001</v>
      </c>
      <c r="D166" s="344">
        <f>D164*'Monthly Fuel Cost Allocation'!$A$2+(1-'Monthly Fuel Cost Allocation'!$A$2)*'Data Inputs - 2011'!D165</f>
        <v>714261.2400000001</v>
      </c>
      <c r="E166" s="344">
        <f>E164*'Monthly Fuel Cost Allocation'!$A$2+(1-'Monthly Fuel Cost Allocation'!$A$2)*'Data Inputs - 2011'!E165</f>
        <v>885010.5600000002</v>
      </c>
      <c r="F166" s="344">
        <f>F164*'Monthly Fuel Cost Allocation'!$A$2+(1-'Monthly Fuel Cost Allocation'!$A$2)*'Data Inputs - 2011'!F165</f>
        <v>829697.4000000001</v>
      </c>
      <c r="G166" s="344">
        <f>G164*'Monthly Fuel Cost Allocation'!$A$2+(1-'Monthly Fuel Cost Allocation'!$A$2)*'Data Inputs - 2011'!G165</f>
        <v>887415.4800000001</v>
      </c>
      <c r="H166" s="344">
        <f>H164*'Monthly Fuel Cost Allocation'!$A$2+(1-'Monthly Fuel Cost Allocation'!$A$2)*'Data Inputs - 2011'!H165</f>
        <v>829697.4000000001</v>
      </c>
      <c r="I166" s="344">
        <f>I164*'Monthly Fuel Cost Allocation'!$A$2+(1-'Monthly Fuel Cost Allocation'!$A$2)*'Data Inputs - 2011'!I165</f>
        <v>887415.4800000001</v>
      </c>
      <c r="J166" s="344">
        <f>J164*'Monthly Fuel Cost Allocation'!$A$2+(1-'Monthly Fuel Cost Allocation'!$A$2)*'Data Inputs - 2011'!J165</f>
        <v>887415.4800000001</v>
      </c>
      <c r="K166" s="344">
        <f>K164*'Monthly Fuel Cost Allocation'!$A$2+(1-'Monthly Fuel Cost Allocation'!$A$2)*'Data Inputs - 2011'!K165</f>
        <v>829697.4000000001</v>
      </c>
      <c r="L166" s="344">
        <f>L164*'Monthly Fuel Cost Allocation'!$A$2+(1-'Monthly Fuel Cost Allocation'!$A$2)*'Data Inputs - 2011'!L165</f>
        <v>887415.4800000001</v>
      </c>
      <c r="M166" s="344">
        <f>M164*'Monthly Fuel Cost Allocation'!$A$2+(1-'Monthly Fuel Cost Allocation'!$A$2)*'Data Inputs - 2011'!M165</f>
        <v>829697.4000000001</v>
      </c>
      <c r="N166" s="344">
        <f>N164*'Monthly Fuel Cost Allocation'!$A$2+(1-'Monthly Fuel Cost Allocation'!$A$2)*'Data Inputs - 2011'!N165</f>
        <v>887415.4800000001</v>
      </c>
      <c r="O166" s="344">
        <f>SUM(B166:N166)</f>
        <v>10242554.280000003</v>
      </c>
    </row>
    <row r="167" spans="1:15" ht="12.75">
      <c r="A167" s="378"/>
      <c r="B167" s="383"/>
      <c r="C167" s="344"/>
      <c r="D167" s="344"/>
      <c r="E167" s="344"/>
      <c r="F167" s="344"/>
      <c r="G167" s="344"/>
      <c r="H167" s="344"/>
      <c r="I167" s="344"/>
      <c r="J167" s="344"/>
      <c r="K167" s="344"/>
      <c r="L167" s="344"/>
      <c r="M167" s="344"/>
      <c r="N167" s="344"/>
      <c r="O167" s="344"/>
    </row>
    <row r="168" spans="1:15" ht="12.75">
      <c r="A168" s="378" t="s">
        <v>44</v>
      </c>
      <c r="B168" s="383"/>
      <c r="C168" s="344">
        <f>+C161+C166</f>
        <v>54045514.474976696</v>
      </c>
      <c r="D168" s="344">
        <f aca="true" t="shared" si="68" ref="D168:O168">+D161+D166</f>
        <v>49980867.91913022</v>
      </c>
      <c r="E168" s="344">
        <f t="shared" si="68"/>
        <v>51041327.27298305</v>
      </c>
      <c r="F168" s="344">
        <f t="shared" si="68"/>
        <v>43605886.06053349</v>
      </c>
      <c r="G168" s="344">
        <f t="shared" si="68"/>
        <v>42141672.862733066</v>
      </c>
      <c r="H168" s="344">
        <f t="shared" si="68"/>
        <v>38892909.941961855</v>
      </c>
      <c r="I168" s="344">
        <f t="shared" si="68"/>
        <v>39491660.89705119</v>
      </c>
      <c r="J168" s="344">
        <f t="shared" si="68"/>
        <v>39120281.33784406</v>
      </c>
      <c r="K168" s="344">
        <f t="shared" si="68"/>
        <v>36080289.11426827</v>
      </c>
      <c r="L168" s="344">
        <f t="shared" si="68"/>
        <v>35608759.042635396</v>
      </c>
      <c r="M168" s="344">
        <f t="shared" si="68"/>
        <v>38692554.79332273</v>
      </c>
      <c r="N168" s="344">
        <f t="shared" si="68"/>
        <v>45973966.5164185</v>
      </c>
      <c r="O168" s="344">
        <f t="shared" si="68"/>
        <v>514675731.60385853</v>
      </c>
    </row>
    <row r="169" spans="1:15" ht="12.75">
      <c r="A169" s="378"/>
      <c r="B169" s="383">
        <f>(0.06226)*100</f>
        <v>6.226</v>
      </c>
      <c r="C169" s="344">
        <f>C36*$B169/100</f>
        <v>964905.48</v>
      </c>
      <c r="D169" s="344">
        <f aca="true" t="shared" si="69" ref="D169:N169">D36*$B169/100</f>
        <v>776631.24</v>
      </c>
      <c r="E169" s="344">
        <f t="shared" si="69"/>
        <v>962290.56</v>
      </c>
      <c r="F169" s="344">
        <f t="shared" si="69"/>
        <v>902147.4</v>
      </c>
      <c r="G169" s="344">
        <f t="shared" si="69"/>
        <v>964905.48</v>
      </c>
      <c r="H169" s="344">
        <f t="shared" si="69"/>
        <v>902147.4</v>
      </c>
      <c r="I169" s="344">
        <f t="shared" si="69"/>
        <v>964905.48</v>
      </c>
      <c r="J169" s="344">
        <f t="shared" si="69"/>
        <v>964905.48</v>
      </c>
      <c r="K169" s="344">
        <f t="shared" si="69"/>
        <v>902147.4</v>
      </c>
      <c r="L169" s="344">
        <f t="shared" si="69"/>
        <v>964905.48</v>
      </c>
      <c r="M169" s="344">
        <f t="shared" si="69"/>
        <v>902147.4</v>
      </c>
      <c r="N169" s="344">
        <f t="shared" si="69"/>
        <v>964905.48</v>
      </c>
      <c r="O169" s="344">
        <f>SUM(B169:N169)</f>
        <v>11136950.506000003</v>
      </c>
    </row>
    <row r="171" ht="15.75">
      <c r="A171" s="341" t="s">
        <v>267</v>
      </c>
    </row>
    <row r="172" spans="1:2" ht="12.75">
      <c r="A172" s="269" t="s">
        <v>268</v>
      </c>
      <c r="B172" s="347">
        <v>0.07870091037018022</v>
      </c>
    </row>
    <row r="173" spans="1:15" ht="12.75">
      <c r="A173" s="314" t="s">
        <v>269</v>
      </c>
      <c r="C173" s="313">
        <f>(C4-C7+C9+C10)-(C17+C55+C56+C8)</f>
        <v>65740462.77238787</v>
      </c>
      <c r="D173" s="313">
        <f aca="true" t="shared" si="70" ref="D173:N173">(D4-D7+D9+D10)-(D17+D55+D56+D8)</f>
        <v>55033551.550189145</v>
      </c>
      <c r="E173" s="313">
        <f t="shared" si="70"/>
        <v>49190119.65364016</v>
      </c>
      <c r="F173" s="313">
        <f t="shared" si="70"/>
        <v>43107164.55711793</v>
      </c>
      <c r="G173" s="313">
        <f t="shared" si="70"/>
        <v>38499023.89397808</v>
      </c>
      <c r="H173" s="313">
        <f t="shared" si="70"/>
        <v>44121911.79489993</v>
      </c>
      <c r="I173" s="313">
        <f t="shared" si="70"/>
        <v>42458368.33425883</v>
      </c>
      <c r="J173" s="313">
        <f t="shared" si="70"/>
        <v>44707325.39535386</v>
      </c>
      <c r="K173" s="313">
        <f t="shared" si="70"/>
        <v>38462642.317101106</v>
      </c>
      <c r="L173" s="313">
        <f t="shared" si="70"/>
        <v>39546967.40795474</v>
      </c>
      <c r="M173" s="313">
        <f t="shared" si="70"/>
        <v>40398424.49358313</v>
      </c>
      <c r="N173" s="313">
        <f t="shared" si="70"/>
        <v>49571827.16513205</v>
      </c>
      <c r="O173" s="313">
        <f>SUM(C173:N173)</f>
        <v>550837789.3355969</v>
      </c>
    </row>
    <row r="174" spans="1:15" ht="12.75">
      <c r="A174" s="321" t="s">
        <v>270</v>
      </c>
      <c r="C174" s="339">
        <f>C119</f>
        <v>54045514.474976696</v>
      </c>
      <c r="D174" s="339">
        <f aca="true" t="shared" si="71" ref="D174:N174">D119</f>
        <v>49980867.91913022</v>
      </c>
      <c r="E174" s="339">
        <f t="shared" si="71"/>
        <v>51041327.27298305</v>
      </c>
      <c r="F174" s="339">
        <f t="shared" si="71"/>
        <v>43605886.06053349</v>
      </c>
      <c r="G174" s="339">
        <f t="shared" si="71"/>
        <v>42141672.862733066</v>
      </c>
      <c r="H174" s="339">
        <f t="shared" si="71"/>
        <v>38892909.941961855</v>
      </c>
      <c r="I174" s="339">
        <f t="shared" si="71"/>
        <v>39491660.89705119</v>
      </c>
      <c r="J174" s="339">
        <f t="shared" si="71"/>
        <v>39120281.33784406</v>
      </c>
      <c r="K174" s="339">
        <f t="shared" si="71"/>
        <v>36080289.11426827</v>
      </c>
      <c r="L174" s="339">
        <f t="shared" si="71"/>
        <v>35608759.042635396</v>
      </c>
      <c r="M174" s="339">
        <f t="shared" si="71"/>
        <v>38692554.79332273</v>
      </c>
      <c r="N174" s="339">
        <f t="shared" si="71"/>
        <v>45973966.5164185</v>
      </c>
      <c r="O174" s="339">
        <f>SUM(C174:N174)</f>
        <v>514675690.2338585</v>
      </c>
    </row>
    <row r="175" spans="1:15" ht="12.75">
      <c r="A175" s="321" t="s">
        <v>265</v>
      </c>
      <c r="C175" s="339">
        <f>+C173-C174</f>
        <v>11694948.297411174</v>
      </c>
      <c r="D175" s="339">
        <f aca="true" t="shared" si="72" ref="D175:N175">+D173-D174</f>
        <v>5052683.631058924</v>
      </c>
      <c r="E175" s="373">
        <f t="shared" si="72"/>
        <v>-1851207.6193428934</v>
      </c>
      <c r="F175" s="373">
        <f t="shared" si="72"/>
        <v>-498721.50341555476</v>
      </c>
      <c r="G175" s="373">
        <f t="shared" si="72"/>
        <v>-3642648.9687549844</v>
      </c>
      <c r="H175" s="339">
        <f t="shared" si="72"/>
        <v>5229001.852938078</v>
      </c>
      <c r="I175" s="339">
        <f t="shared" si="72"/>
        <v>2966707.437207639</v>
      </c>
      <c r="J175" s="339">
        <f t="shared" si="72"/>
        <v>5587044.057509802</v>
      </c>
      <c r="K175" s="339">
        <f t="shared" si="72"/>
        <v>2382353.202832833</v>
      </c>
      <c r="L175" s="339">
        <f t="shared" si="72"/>
        <v>3938208.3653193414</v>
      </c>
      <c r="M175" s="339">
        <f t="shared" si="72"/>
        <v>1705869.7002604008</v>
      </c>
      <c r="N175" s="339">
        <f t="shared" si="72"/>
        <v>3597860.6487135515</v>
      </c>
      <c r="O175" s="339">
        <f>SUM(C175:N175)</f>
        <v>36162099.10173831</v>
      </c>
    </row>
    <row r="176" spans="1:15" ht="12.75">
      <c r="A176" s="321" t="s">
        <v>271</v>
      </c>
      <c r="C176" s="339">
        <f>C175</f>
        <v>11694948.297411174</v>
      </c>
      <c r="D176" s="339">
        <f>+D175+C176</f>
        <v>16747631.928470097</v>
      </c>
      <c r="E176" s="339">
        <f aca="true" t="shared" si="73" ref="E176:N176">+E175+D176</f>
        <v>14896424.309127204</v>
      </c>
      <c r="F176" s="339">
        <f t="shared" si="73"/>
        <v>14397702.80571165</v>
      </c>
      <c r="G176" s="339">
        <f t="shared" si="73"/>
        <v>10755053.836956665</v>
      </c>
      <c r="H176" s="339">
        <f t="shared" si="73"/>
        <v>15984055.689894743</v>
      </c>
      <c r="I176" s="339">
        <f t="shared" si="73"/>
        <v>18950763.127102382</v>
      </c>
      <c r="J176" s="339">
        <f t="shared" si="73"/>
        <v>24537807.184612185</v>
      </c>
      <c r="K176" s="339">
        <f t="shared" si="73"/>
        <v>26920160.387445018</v>
      </c>
      <c r="L176" s="339">
        <f t="shared" si="73"/>
        <v>30858368.75276436</v>
      </c>
      <c r="M176" s="339">
        <f t="shared" si="73"/>
        <v>32564238.45302476</v>
      </c>
      <c r="N176" s="339">
        <f t="shared" si="73"/>
        <v>36162099.10173831</v>
      </c>
      <c r="O176" s="339"/>
    </row>
    <row r="177" spans="1:15" ht="12.75">
      <c r="A177" s="321" t="s">
        <v>272</v>
      </c>
      <c r="C177" s="339">
        <f>C176*$B$172/12</f>
        <v>76700.25647820404</v>
      </c>
      <c r="D177" s="339">
        <f aca="true" t="shared" si="74" ref="D177:M177">D176*$B$172/12</f>
        <v>109837.82327627447</v>
      </c>
      <c r="E177" s="339">
        <f t="shared" si="74"/>
        <v>97696.84619906616</v>
      </c>
      <c r="F177" s="339">
        <f t="shared" si="74"/>
        <v>94426.02650406706</v>
      </c>
      <c r="G177" s="339">
        <f t="shared" si="74"/>
        <v>70536.04400406578</v>
      </c>
      <c r="H177" s="339">
        <f t="shared" si="74"/>
        <v>104829.97785019795</v>
      </c>
      <c r="I177" s="339">
        <f t="shared" si="74"/>
        <v>124286.85919271673</v>
      </c>
      <c r="J177" s="339">
        <f t="shared" si="74"/>
        <v>160928.98032641064</v>
      </c>
      <c r="K177" s="339">
        <f t="shared" si="74"/>
        <v>176553.42748359885</v>
      </c>
      <c r="L177" s="339">
        <f t="shared" si="74"/>
        <v>202381.80944843983</v>
      </c>
      <c r="M177" s="339">
        <f t="shared" si="74"/>
        <v>213569.60098038983</v>
      </c>
      <c r="N177" s="339">
        <f>N176*$B$172/12</f>
        <v>237165.84335029012</v>
      </c>
      <c r="O177" s="339">
        <f>SUM(C177:N177)</f>
        <v>1668913.4950937214</v>
      </c>
    </row>
    <row r="180" spans="3:14" ht="12.75"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</row>
  </sheetData>
  <sheetProtection/>
  <conditionalFormatting sqref="C30:N30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2" horizontalDpi="600" verticalDpi="600" orientation="landscape" paperSize="17" scale="57" r:id="rId1"/>
  <rowBreaks count="1" manualBreakCount="1">
    <brk id="9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8"/>
  <sheetViews>
    <sheetView view="pageBreakPreview" zoomScale="60" zoomScalePageLayoutView="0" workbookViewId="0" topLeftCell="A1">
      <pane xSplit="1" ySplit="3" topLeftCell="B4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D29" sqref="D29"/>
    </sheetView>
  </sheetViews>
  <sheetFormatPr defaultColWidth="9.140625" defaultRowHeight="12.75"/>
  <cols>
    <col min="1" max="1" width="24.8515625" style="228" bestFit="1" customWidth="1"/>
    <col min="2" max="2" width="18.7109375" style="228" bestFit="1" customWidth="1"/>
    <col min="3" max="3" width="20.140625" style="228" bestFit="1" customWidth="1"/>
    <col min="4" max="4" width="19.00390625" style="228" bestFit="1" customWidth="1"/>
    <col min="5" max="5" width="17.7109375" style="228" bestFit="1" customWidth="1"/>
    <col min="6" max="6" width="18.00390625" style="228" bestFit="1" customWidth="1"/>
    <col min="7" max="7" width="17.7109375" style="228" bestFit="1" customWidth="1"/>
    <col min="8" max="8" width="18.28125" style="228" bestFit="1" customWidth="1"/>
    <col min="9" max="10" width="18.00390625" style="228" bestFit="1" customWidth="1"/>
    <col min="11" max="11" width="17.28125" style="228" bestFit="1" customWidth="1"/>
    <col min="12" max="12" width="18.00390625" style="228" bestFit="1" customWidth="1"/>
    <col min="13" max="13" width="19.421875" style="228" bestFit="1" customWidth="1"/>
    <col min="14" max="14" width="20.421875" style="228" bestFit="1" customWidth="1"/>
    <col min="15" max="16384" width="9.140625" style="228" customWidth="1"/>
  </cols>
  <sheetData>
    <row r="3" spans="1:14" ht="12.75">
      <c r="A3" s="248" t="s">
        <v>87</v>
      </c>
      <c r="B3" s="250" t="s">
        <v>75</v>
      </c>
      <c r="C3" s="250" t="s">
        <v>76</v>
      </c>
      <c r="D3" s="250" t="s">
        <v>77</v>
      </c>
      <c r="E3" s="250" t="s">
        <v>78</v>
      </c>
      <c r="F3" s="250" t="s">
        <v>79</v>
      </c>
      <c r="G3" s="250" t="s">
        <v>80</v>
      </c>
      <c r="H3" s="250" t="s">
        <v>81</v>
      </c>
      <c r="I3" s="250" t="s">
        <v>82</v>
      </c>
      <c r="J3" s="250" t="s">
        <v>83</v>
      </c>
      <c r="K3" s="250" t="s">
        <v>84</v>
      </c>
      <c r="L3" s="250" t="s">
        <v>85</v>
      </c>
      <c r="M3" s="250" t="s">
        <v>86</v>
      </c>
      <c r="N3" s="250" t="s">
        <v>44</v>
      </c>
    </row>
    <row r="4" spans="1:14" ht="15.75">
      <c r="A4" s="270" t="s">
        <v>88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72"/>
    </row>
    <row r="5" ht="12.75">
      <c r="A5" s="229" t="s">
        <v>39</v>
      </c>
    </row>
    <row r="6" spans="1:14" ht="12.75">
      <c r="A6" s="251" t="s">
        <v>93</v>
      </c>
      <c r="B6" s="231">
        <v>499163301.3184339</v>
      </c>
      <c r="C6" s="231">
        <v>433816150.07748866</v>
      </c>
      <c r="D6" s="231">
        <v>434893043.9262909</v>
      </c>
      <c r="E6" s="231">
        <v>347393103.22798294</v>
      </c>
      <c r="F6" s="231">
        <v>315034794.5680765</v>
      </c>
      <c r="G6" s="231">
        <v>261044221.94733205</v>
      </c>
      <c r="H6" s="231">
        <v>263864324.72612455</v>
      </c>
      <c r="I6" s="231">
        <v>258875424.0124441</v>
      </c>
      <c r="J6" s="231">
        <v>258342178.87723064</v>
      </c>
      <c r="K6" s="231">
        <v>295220942.57098216</v>
      </c>
      <c r="L6" s="231">
        <v>341060150.28075904</v>
      </c>
      <c r="M6" s="231">
        <v>445876337.59579873</v>
      </c>
      <c r="N6" s="234">
        <f>SUM(B6:M6)</f>
        <v>4154583973.1289434</v>
      </c>
    </row>
    <row r="7" spans="1:14" ht="15">
      <c r="A7" s="251" t="s">
        <v>94</v>
      </c>
      <c r="B7" s="328">
        <v>30792208.67215784</v>
      </c>
      <c r="C7" s="328">
        <v>25983733.442053027</v>
      </c>
      <c r="D7" s="328">
        <v>25494426.316768616</v>
      </c>
      <c r="E7" s="328">
        <v>20691133.70630938</v>
      </c>
      <c r="F7" s="328">
        <v>15601414.235470291</v>
      </c>
      <c r="G7" s="328">
        <v>9875887.733646277</v>
      </c>
      <c r="H7" s="328">
        <v>8538975.576872598</v>
      </c>
      <c r="I7" s="328">
        <v>7935624.797547605</v>
      </c>
      <c r="J7" s="328">
        <v>8849148.609374203</v>
      </c>
      <c r="K7" s="328">
        <v>12456825.980610264</v>
      </c>
      <c r="L7" s="328">
        <v>18965498.22830268</v>
      </c>
      <c r="M7" s="328">
        <v>32769017.20642105</v>
      </c>
      <c r="N7" s="348">
        <f aca="true" t="shared" si="0" ref="N7:N17">SUM(B7:M7)</f>
        <v>217953894.5055338</v>
      </c>
    </row>
    <row r="8" spans="1:14" ht="12.75">
      <c r="A8" s="251" t="s">
        <v>95</v>
      </c>
      <c r="B8" s="234">
        <f>SUM(B6:B7)</f>
        <v>529955509.9905917</v>
      </c>
      <c r="C8" s="234">
        <f aca="true" t="shared" si="1" ref="C8:M8">SUM(C6:C7)</f>
        <v>459799883.5195417</v>
      </c>
      <c r="D8" s="234">
        <f t="shared" si="1"/>
        <v>460387470.2430595</v>
      </c>
      <c r="E8" s="234">
        <f t="shared" si="1"/>
        <v>368084236.9342923</v>
      </c>
      <c r="F8" s="234">
        <f t="shared" si="1"/>
        <v>330636208.8035468</v>
      </c>
      <c r="G8" s="234">
        <f t="shared" si="1"/>
        <v>270920109.68097836</v>
      </c>
      <c r="H8" s="234">
        <f t="shared" si="1"/>
        <v>272403300.3029972</v>
      </c>
      <c r="I8" s="234">
        <f t="shared" si="1"/>
        <v>266811048.80999172</v>
      </c>
      <c r="J8" s="234">
        <f t="shared" si="1"/>
        <v>267191327.48660484</v>
      </c>
      <c r="K8" s="234">
        <f t="shared" si="1"/>
        <v>307677768.5515924</v>
      </c>
      <c r="L8" s="234">
        <f t="shared" si="1"/>
        <v>360025648.5090617</v>
      </c>
      <c r="M8" s="234">
        <f t="shared" si="1"/>
        <v>478645354.8022198</v>
      </c>
      <c r="N8" s="234">
        <f t="shared" si="0"/>
        <v>4372537867.634478</v>
      </c>
    </row>
    <row r="9" spans="1:14" ht="12.75">
      <c r="A9" s="228" t="s">
        <v>46</v>
      </c>
      <c r="B9" s="231">
        <v>24058154.845294427</v>
      </c>
      <c r="C9" s="231">
        <v>22094774.36181779</v>
      </c>
      <c r="D9" s="231">
        <v>21160188.008371253</v>
      </c>
      <c r="E9" s="231">
        <v>17946423.39572243</v>
      </c>
      <c r="F9" s="231">
        <v>16444737.747166073</v>
      </c>
      <c r="G9" s="231">
        <v>15659988.17654896</v>
      </c>
      <c r="H9" s="231">
        <v>16138743.280104283</v>
      </c>
      <c r="I9" s="231">
        <v>16246669.973139472</v>
      </c>
      <c r="J9" s="231">
        <v>14709451.20135866</v>
      </c>
      <c r="K9" s="231">
        <v>16405657.494972058</v>
      </c>
      <c r="L9" s="231">
        <v>17173386.48989336</v>
      </c>
      <c r="M9" s="231">
        <v>21449297.87947748</v>
      </c>
      <c r="N9" s="234">
        <f t="shared" si="0"/>
        <v>219487472.8538662</v>
      </c>
    </row>
    <row r="10" spans="1:14" ht="12.75">
      <c r="A10" s="228" t="s">
        <v>47</v>
      </c>
      <c r="B10" s="231">
        <v>243205955.10071665</v>
      </c>
      <c r="C10" s="231">
        <v>228102250.4066153</v>
      </c>
      <c r="D10" s="231">
        <v>234588784.33955202</v>
      </c>
      <c r="E10" s="231">
        <v>202976381.90185183</v>
      </c>
      <c r="F10" s="231">
        <v>191339552.3801025</v>
      </c>
      <c r="G10" s="231">
        <v>193482797.9723198</v>
      </c>
      <c r="H10" s="231">
        <v>209260031.25709492</v>
      </c>
      <c r="I10" s="231">
        <v>203474422.03263745</v>
      </c>
      <c r="J10" s="231">
        <v>188749284.15007237</v>
      </c>
      <c r="K10" s="231">
        <v>197408094.62984383</v>
      </c>
      <c r="L10" s="231">
        <v>206245424.37864938</v>
      </c>
      <c r="M10" s="231">
        <v>235174192.28696376</v>
      </c>
      <c r="N10" s="234">
        <f t="shared" si="0"/>
        <v>2534007170.8364196</v>
      </c>
    </row>
    <row r="11" spans="1:14" ht="12.75">
      <c r="A11" s="228" t="s">
        <v>48</v>
      </c>
      <c r="B11" s="231">
        <v>33625608.09432742</v>
      </c>
      <c r="C11" s="231">
        <v>30826580.81628773</v>
      </c>
      <c r="D11" s="231">
        <v>33284416.830675602</v>
      </c>
      <c r="E11" s="231">
        <v>30577140.214623153</v>
      </c>
      <c r="F11" s="231">
        <v>30579815.99859363</v>
      </c>
      <c r="G11" s="231">
        <v>32043700.289774623</v>
      </c>
      <c r="H11" s="231">
        <v>36863861.123304866</v>
      </c>
      <c r="I11" s="231">
        <v>36370413.69035967</v>
      </c>
      <c r="J11" s="231">
        <v>33808763.759771176</v>
      </c>
      <c r="K11" s="231">
        <v>32195654.21732054</v>
      </c>
      <c r="L11" s="231">
        <v>31820043.285665907</v>
      </c>
      <c r="M11" s="231">
        <v>32355293.585801065</v>
      </c>
      <c r="N11" s="234">
        <f t="shared" si="0"/>
        <v>394351291.9065054</v>
      </c>
    </row>
    <row r="12" spans="1:14" ht="12.75">
      <c r="A12" s="228" t="s">
        <v>49</v>
      </c>
      <c r="B12" s="231">
        <v>22882334.648170777</v>
      </c>
      <c r="C12" s="231">
        <v>21937063.54647495</v>
      </c>
      <c r="D12" s="231">
        <v>22002210.118915882</v>
      </c>
      <c r="E12" s="231">
        <v>20991044.777444426</v>
      </c>
      <c r="F12" s="231">
        <v>21156517.936960444</v>
      </c>
      <c r="G12" s="231">
        <v>22086013.10299823</v>
      </c>
      <c r="H12" s="231">
        <v>22450831.91863234</v>
      </c>
      <c r="I12" s="231">
        <v>22408630.745059546</v>
      </c>
      <c r="J12" s="231">
        <v>20946371.614289336</v>
      </c>
      <c r="K12" s="231">
        <v>19291699.207396273</v>
      </c>
      <c r="L12" s="231">
        <v>21159327.513763577</v>
      </c>
      <c r="M12" s="231">
        <v>24538117.59419102</v>
      </c>
      <c r="N12" s="234">
        <f t="shared" si="0"/>
        <v>261850162.72429678</v>
      </c>
    </row>
    <row r="13" spans="1:14" ht="12.75">
      <c r="A13" s="228" t="s">
        <v>50</v>
      </c>
      <c r="B13" s="231">
        <v>44144421.004735865</v>
      </c>
      <c r="C13" s="231">
        <v>39831763.78971534</v>
      </c>
      <c r="D13" s="231">
        <v>42507306.38681646</v>
      </c>
      <c r="E13" s="231">
        <v>42360011.69169449</v>
      </c>
      <c r="F13" s="231">
        <v>41856357.27321426</v>
      </c>
      <c r="G13" s="231">
        <v>43819054.069839105</v>
      </c>
      <c r="H13" s="231">
        <v>43778788.14294194</v>
      </c>
      <c r="I13" s="231">
        <v>43826091.70166588</v>
      </c>
      <c r="J13" s="231">
        <v>42686817.48231351</v>
      </c>
      <c r="K13" s="231">
        <v>43041742.95740857</v>
      </c>
      <c r="L13" s="231">
        <v>42152101.93640309</v>
      </c>
      <c r="M13" s="231">
        <v>42939457.02347003</v>
      </c>
      <c r="N13" s="234">
        <f>SUM(B13:M13)</f>
        <v>512943913.46021855</v>
      </c>
    </row>
    <row r="14" spans="1:14" ht="12.75">
      <c r="A14" s="228" t="s">
        <v>51</v>
      </c>
      <c r="B14" s="231">
        <v>75703038.55650288</v>
      </c>
      <c r="C14" s="231">
        <v>68601236.24047384</v>
      </c>
      <c r="D14" s="231">
        <v>75839465.45417616</v>
      </c>
      <c r="E14" s="231">
        <v>74997597.00112964</v>
      </c>
      <c r="F14" s="231">
        <v>77472134.77506858</v>
      </c>
      <c r="G14" s="231">
        <v>76701739.49801955</v>
      </c>
      <c r="H14" s="231">
        <v>78206345.13655725</v>
      </c>
      <c r="I14" s="231">
        <v>87481418.99747546</v>
      </c>
      <c r="J14" s="231">
        <v>81358107.12925717</v>
      </c>
      <c r="K14" s="231">
        <v>81777039.33301765</v>
      </c>
      <c r="L14" s="231">
        <v>79203168.02242666</v>
      </c>
      <c r="M14" s="231">
        <v>75302947.27839562</v>
      </c>
      <c r="N14" s="234">
        <f t="shared" si="0"/>
        <v>932644237.4225004</v>
      </c>
    </row>
    <row r="15" spans="1:14" ht="12.75">
      <c r="A15" s="228" t="s">
        <v>55</v>
      </c>
      <c r="B15" s="231">
        <v>153671712</v>
      </c>
      <c r="C15" s="231">
        <v>143757408</v>
      </c>
      <c r="D15" s="231">
        <v>153671712</v>
      </c>
      <c r="E15" s="231">
        <v>148714560</v>
      </c>
      <c r="F15" s="231">
        <v>153671712</v>
      </c>
      <c r="G15" s="231">
        <v>148714560</v>
      </c>
      <c r="H15" s="231">
        <v>153671712</v>
      </c>
      <c r="I15" s="231">
        <v>153671712</v>
      </c>
      <c r="J15" s="231">
        <v>148714560</v>
      </c>
      <c r="K15" s="231">
        <v>153671712</v>
      </c>
      <c r="L15" s="231">
        <v>148714560</v>
      </c>
      <c r="M15" s="231">
        <v>153671712</v>
      </c>
      <c r="N15" s="234">
        <f t="shared" si="0"/>
        <v>1814317632</v>
      </c>
    </row>
    <row r="16" spans="1:14" ht="12.75">
      <c r="A16" s="228" t="s">
        <v>52</v>
      </c>
      <c r="B16" s="231">
        <v>20909021.32042029</v>
      </c>
      <c r="C16" s="231">
        <v>19129220.002874926</v>
      </c>
      <c r="D16" s="231">
        <v>18619713.372918814</v>
      </c>
      <c r="E16" s="231">
        <v>15454118.849571884</v>
      </c>
      <c r="F16" s="231">
        <v>14136731.555427391</v>
      </c>
      <c r="G16" s="231">
        <v>13400646.457222233</v>
      </c>
      <c r="H16" s="231">
        <v>14718677.92978346</v>
      </c>
      <c r="I16" s="231">
        <v>14519719.893402142</v>
      </c>
      <c r="J16" s="231">
        <v>14198333.635772206</v>
      </c>
      <c r="K16" s="231">
        <v>15252395.376415223</v>
      </c>
      <c r="L16" s="231">
        <v>16990470.66396168</v>
      </c>
      <c r="M16" s="231">
        <v>20039214.640238285</v>
      </c>
      <c r="N16" s="234">
        <f t="shared" si="0"/>
        <v>197368263.69800854</v>
      </c>
    </row>
    <row r="17" spans="1:14" ht="15">
      <c r="A17" s="228" t="s">
        <v>53</v>
      </c>
      <c r="B17" s="328">
        <v>9721223.70921977</v>
      </c>
      <c r="C17" s="328">
        <v>9257728.574004222</v>
      </c>
      <c r="D17" s="328">
        <v>9705211.018701112</v>
      </c>
      <c r="E17" s="328">
        <v>9363232.250861643</v>
      </c>
      <c r="F17" s="328">
        <v>9921163.43997261</v>
      </c>
      <c r="G17" s="328">
        <v>9443188.210259667</v>
      </c>
      <c r="H17" s="328">
        <v>9281947.485614162</v>
      </c>
      <c r="I17" s="328">
        <v>9623606.007687492</v>
      </c>
      <c r="J17" s="328">
        <v>9720858.139667949</v>
      </c>
      <c r="K17" s="328">
        <v>9488896.813551757</v>
      </c>
      <c r="L17" s="328">
        <v>10074885.398105921</v>
      </c>
      <c r="M17" s="328">
        <v>10138028.464426681</v>
      </c>
      <c r="N17" s="348">
        <f t="shared" si="0"/>
        <v>115739969.51207298</v>
      </c>
    </row>
    <row r="18" spans="1:14" ht="12.75">
      <c r="A18" s="229" t="s">
        <v>56</v>
      </c>
      <c r="B18" s="230">
        <f>SUM(B8:B17)</f>
        <v>1157876979.2699797</v>
      </c>
      <c r="C18" s="230">
        <f aca="true" t="shared" si="2" ref="C18:M18">SUM(C8:C17)</f>
        <v>1043337909.2578057</v>
      </c>
      <c r="D18" s="230">
        <f t="shared" si="2"/>
        <v>1071766477.7731869</v>
      </c>
      <c r="E18" s="230">
        <f t="shared" si="2"/>
        <v>931464747.0171919</v>
      </c>
      <c r="F18" s="230">
        <f t="shared" si="2"/>
        <v>887214931.9100524</v>
      </c>
      <c r="G18" s="230">
        <f t="shared" si="2"/>
        <v>826271797.4579605</v>
      </c>
      <c r="H18" s="230">
        <f t="shared" si="2"/>
        <v>856774238.5770304</v>
      </c>
      <c r="I18" s="230">
        <f t="shared" si="2"/>
        <v>854433733.8514187</v>
      </c>
      <c r="J18" s="230">
        <f t="shared" si="2"/>
        <v>822083874.5991073</v>
      </c>
      <c r="K18" s="230">
        <f t="shared" si="2"/>
        <v>876210660.5815183</v>
      </c>
      <c r="L18" s="230">
        <f t="shared" si="2"/>
        <v>933559016.1979312</v>
      </c>
      <c r="M18" s="230">
        <f t="shared" si="2"/>
        <v>1094253615.5551841</v>
      </c>
      <c r="N18" s="349">
        <f>SUM(N8:N17)</f>
        <v>11355247982.048367</v>
      </c>
    </row>
    <row r="19" ht="12.75">
      <c r="N19" s="234"/>
    </row>
    <row r="20" spans="1:14" ht="12.75">
      <c r="A20" s="229" t="s">
        <v>91</v>
      </c>
      <c r="N20" s="234"/>
    </row>
    <row r="21" spans="1:14" ht="12.75">
      <c r="A21" s="228" t="s">
        <v>74</v>
      </c>
      <c r="B21" s="231">
        <v>15498000</v>
      </c>
      <c r="C21" s="231">
        <v>13482000</v>
      </c>
      <c r="D21" s="231">
        <v>15498000</v>
      </c>
      <c r="E21" s="231">
        <v>14490000</v>
      </c>
      <c r="F21" s="231">
        <v>15498000</v>
      </c>
      <c r="G21" s="231">
        <v>14490000</v>
      </c>
      <c r="H21" s="231">
        <v>15498000</v>
      </c>
      <c r="I21" s="231">
        <v>15498000</v>
      </c>
      <c r="J21" s="231">
        <v>14490000</v>
      </c>
      <c r="K21" s="231">
        <v>15498000</v>
      </c>
      <c r="L21" s="231">
        <v>14490000</v>
      </c>
      <c r="M21" s="231">
        <v>15498000</v>
      </c>
      <c r="N21" s="234">
        <f>SUM(B21:M21)</f>
        <v>179928000</v>
      </c>
    </row>
    <row r="22" spans="1:14" ht="12.75">
      <c r="A22" s="228" t="s">
        <v>57</v>
      </c>
      <c r="B22" s="350">
        <v>8578872</v>
      </c>
      <c r="C22" s="350">
        <v>8320560</v>
      </c>
      <c r="D22" s="350">
        <v>7626965.949999999</v>
      </c>
      <c r="E22" s="350">
        <v>8805992</v>
      </c>
      <c r="F22" s="350">
        <v>8030528.999999999</v>
      </c>
      <c r="G22" s="350">
        <v>7920793.049999999</v>
      </c>
      <c r="H22" s="350">
        <v>9180143</v>
      </c>
      <c r="I22" s="350">
        <v>10422773</v>
      </c>
      <c r="J22" s="350">
        <v>14026206</v>
      </c>
      <c r="K22" s="350">
        <v>9055569.649999999</v>
      </c>
      <c r="L22" s="350">
        <v>8653936.41</v>
      </c>
      <c r="M22" s="350">
        <v>7789142.999999999</v>
      </c>
      <c r="N22" s="234">
        <f>SUM(B22:M22)</f>
        <v>108411483.06</v>
      </c>
    </row>
    <row r="23" spans="1:14" ht="12.75">
      <c r="A23" s="286" t="s">
        <v>170</v>
      </c>
      <c r="B23" s="231">
        <v>15750000</v>
      </c>
      <c r="C23" s="231">
        <v>15750000</v>
      </c>
      <c r="D23" s="231">
        <v>15750000</v>
      </c>
      <c r="E23" s="231">
        <v>15750000</v>
      </c>
      <c r="F23" s="231">
        <v>15750000</v>
      </c>
      <c r="G23" s="231">
        <v>15750000</v>
      </c>
      <c r="H23" s="231">
        <v>15750000</v>
      </c>
      <c r="I23" s="231">
        <v>15750000</v>
      </c>
      <c r="J23" s="231">
        <v>15750000</v>
      </c>
      <c r="K23" s="231">
        <v>15750000</v>
      </c>
      <c r="L23" s="231">
        <v>15750000</v>
      </c>
      <c r="M23" s="231">
        <v>15750000</v>
      </c>
      <c r="N23" s="234">
        <f>SUM(B23:M23)</f>
        <v>189000000</v>
      </c>
    </row>
    <row r="24" spans="1:14" ht="12.75">
      <c r="A24" s="228" t="s">
        <v>254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4">
        <f>SUM(B24:M24)</f>
        <v>0</v>
      </c>
    </row>
    <row r="25" spans="1:14" ht="12.75">
      <c r="A25" s="229" t="s">
        <v>99</v>
      </c>
      <c r="B25" s="230">
        <f>SUM(B21:B24)</f>
        <v>39826872</v>
      </c>
      <c r="C25" s="230">
        <f aca="true" t="shared" si="3" ref="C25:M25">SUM(C21:C24)</f>
        <v>37552560</v>
      </c>
      <c r="D25" s="230">
        <f t="shared" si="3"/>
        <v>38874965.95</v>
      </c>
      <c r="E25" s="230">
        <f t="shared" si="3"/>
        <v>39045992</v>
      </c>
      <c r="F25" s="230">
        <f t="shared" si="3"/>
        <v>39278529</v>
      </c>
      <c r="G25" s="230">
        <f t="shared" si="3"/>
        <v>38160793.05</v>
      </c>
      <c r="H25" s="230">
        <f t="shared" si="3"/>
        <v>40428143</v>
      </c>
      <c r="I25" s="230">
        <f t="shared" si="3"/>
        <v>41670773</v>
      </c>
      <c r="J25" s="230">
        <f t="shared" si="3"/>
        <v>44266206</v>
      </c>
      <c r="K25" s="230">
        <f t="shared" si="3"/>
        <v>40303569.65</v>
      </c>
      <c r="L25" s="230">
        <f t="shared" si="3"/>
        <v>38893936.41</v>
      </c>
      <c r="M25" s="230">
        <f t="shared" si="3"/>
        <v>39037143</v>
      </c>
      <c r="N25" s="349">
        <f>SUM(N21:N24)</f>
        <v>477339483.06</v>
      </c>
    </row>
    <row r="26" ht="12.75">
      <c r="N26" s="234"/>
    </row>
    <row r="27" spans="1:14" ht="12.75">
      <c r="A27" s="229" t="s">
        <v>255</v>
      </c>
      <c r="B27" s="349">
        <f>B18+B25</f>
        <v>1197703851.2699797</v>
      </c>
      <c r="C27" s="349">
        <f aca="true" t="shared" si="4" ref="C27:M27">C18+C25</f>
        <v>1080890469.2578058</v>
      </c>
      <c r="D27" s="349">
        <f t="shared" si="4"/>
        <v>1110641443.723187</v>
      </c>
      <c r="E27" s="349">
        <f t="shared" si="4"/>
        <v>970510739.0171919</v>
      </c>
      <c r="F27" s="349">
        <f t="shared" si="4"/>
        <v>926493460.9100524</v>
      </c>
      <c r="G27" s="349">
        <f t="shared" si="4"/>
        <v>864432590.5079604</v>
      </c>
      <c r="H27" s="349">
        <f t="shared" si="4"/>
        <v>897202381.5770304</v>
      </c>
      <c r="I27" s="349">
        <f t="shared" si="4"/>
        <v>896104506.8514187</v>
      </c>
      <c r="J27" s="349">
        <f t="shared" si="4"/>
        <v>866350080.5991073</v>
      </c>
      <c r="K27" s="349">
        <f t="shared" si="4"/>
        <v>916514230.2315183</v>
      </c>
      <c r="L27" s="349">
        <f t="shared" si="4"/>
        <v>972452952.6079311</v>
      </c>
      <c r="M27" s="349">
        <f t="shared" si="4"/>
        <v>1133290758.5551841</v>
      </c>
      <c r="N27" s="349">
        <f>N18+N25</f>
        <v>11832587465.108366</v>
      </c>
    </row>
    <row r="28" ht="12.75">
      <c r="N28" s="234"/>
    </row>
    <row r="29" spans="1:14" ht="12.75">
      <c r="A29" s="229" t="s">
        <v>92</v>
      </c>
      <c r="B29" s="307">
        <v>1914000</v>
      </c>
      <c r="C29" s="307">
        <v>1916000</v>
      </c>
      <c r="D29" s="307">
        <v>6776000</v>
      </c>
      <c r="E29" s="307">
        <v>0</v>
      </c>
      <c r="F29" s="307">
        <v>0</v>
      </c>
      <c r="G29" s="307">
        <v>3000</v>
      </c>
      <c r="H29" s="307">
        <v>7760000</v>
      </c>
      <c r="I29" s="307">
        <v>4847000</v>
      </c>
      <c r="J29" s="307">
        <v>0</v>
      </c>
      <c r="K29" s="307">
        <v>2910000</v>
      </c>
      <c r="L29" s="307">
        <v>1940000</v>
      </c>
      <c r="M29" s="307">
        <v>5793000</v>
      </c>
      <c r="N29" s="349">
        <f>SUM(B29:M29)</f>
        <v>33859000</v>
      </c>
    </row>
    <row r="30" spans="1:14" ht="12.75">
      <c r="A30" s="351" t="s">
        <v>332</v>
      </c>
      <c r="B30" s="376">
        <v>59000</v>
      </c>
      <c r="C30" s="376">
        <v>59000</v>
      </c>
      <c r="D30" s="376">
        <v>59000</v>
      </c>
      <c r="E30" s="376">
        <v>0</v>
      </c>
      <c r="F30" s="376">
        <v>0</v>
      </c>
      <c r="G30" s="376">
        <v>0</v>
      </c>
      <c r="H30" s="376">
        <v>240000</v>
      </c>
      <c r="I30" s="376">
        <v>150000</v>
      </c>
      <c r="J30" s="376">
        <v>0</v>
      </c>
      <c r="K30" s="376">
        <v>90000</v>
      </c>
      <c r="L30" s="376">
        <v>60000</v>
      </c>
      <c r="M30" s="376">
        <v>179000</v>
      </c>
      <c r="N30" s="349">
        <f>SUM(B30:M30)</f>
        <v>896000</v>
      </c>
    </row>
    <row r="31" spans="1:14" ht="15">
      <c r="A31" s="351"/>
      <c r="B31" s="376">
        <f>B29+B30</f>
        <v>1973000</v>
      </c>
      <c r="C31" s="376">
        <f aca="true" t="shared" si="5" ref="C31:M31">C29+C30</f>
        <v>1975000</v>
      </c>
      <c r="D31" s="376">
        <f t="shared" si="5"/>
        <v>6835000</v>
      </c>
      <c r="E31" s="375">
        <f t="shared" si="5"/>
        <v>0</v>
      </c>
      <c r="F31" s="375">
        <f t="shared" si="5"/>
        <v>0</v>
      </c>
      <c r="G31" s="376">
        <f t="shared" si="5"/>
        <v>3000</v>
      </c>
      <c r="H31" s="376">
        <f t="shared" si="5"/>
        <v>8000000</v>
      </c>
      <c r="I31" s="376">
        <f t="shared" si="5"/>
        <v>4997000</v>
      </c>
      <c r="J31" s="375">
        <f t="shared" si="5"/>
        <v>0</v>
      </c>
      <c r="K31" s="376">
        <f t="shared" si="5"/>
        <v>3000000</v>
      </c>
      <c r="L31" s="376">
        <f t="shared" si="5"/>
        <v>2000000</v>
      </c>
      <c r="M31" s="376">
        <f t="shared" si="5"/>
        <v>5972000</v>
      </c>
      <c r="N31" s="349">
        <f>SUM(B31:M31)</f>
        <v>34755000</v>
      </c>
    </row>
    <row r="32" spans="2:13" ht="13.5"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</row>
    <row r="33" spans="1:14" ht="12.75">
      <c r="A33" s="286" t="s">
        <v>331</v>
      </c>
      <c r="B33" s="234">
        <f>B27+B29</f>
        <v>1199617851.2699797</v>
      </c>
      <c r="C33" s="234">
        <f aca="true" t="shared" si="6" ref="C33:M33">C27+C29</f>
        <v>1082806469.2578058</v>
      </c>
      <c r="D33" s="234">
        <f t="shared" si="6"/>
        <v>1117417443.723187</v>
      </c>
      <c r="E33" s="234">
        <f t="shared" si="6"/>
        <v>970510739.0171919</v>
      </c>
      <c r="F33" s="234">
        <f t="shared" si="6"/>
        <v>926493460.9100524</v>
      </c>
      <c r="G33" s="234">
        <f t="shared" si="6"/>
        <v>864435590.5079604</v>
      </c>
      <c r="H33" s="234">
        <f t="shared" si="6"/>
        <v>904962381.5770304</v>
      </c>
      <c r="I33" s="234">
        <f t="shared" si="6"/>
        <v>900951506.8514187</v>
      </c>
      <c r="J33" s="234">
        <f t="shared" si="6"/>
        <v>866350080.5991073</v>
      </c>
      <c r="K33" s="234">
        <f t="shared" si="6"/>
        <v>919424230.2315183</v>
      </c>
      <c r="L33" s="234">
        <f>L27+L29</f>
        <v>974392952.6079311</v>
      </c>
      <c r="M33" s="234">
        <f t="shared" si="6"/>
        <v>1139083758.5551841</v>
      </c>
      <c r="N33" s="234">
        <f>SUM(B33:M33)</f>
        <v>11866446465.108364</v>
      </c>
    </row>
    <row r="34" spans="1:14" ht="12.75">
      <c r="A34" s="286" t="s">
        <v>142</v>
      </c>
      <c r="B34" s="374">
        <v>1293794995.0420094</v>
      </c>
      <c r="C34" s="374">
        <v>1168598438.7573028</v>
      </c>
      <c r="D34" s="374">
        <v>1197746987.5721262</v>
      </c>
      <c r="E34" s="374">
        <v>1035710258.520862</v>
      </c>
      <c r="F34" s="374">
        <v>989059401.177272</v>
      </c>
      <c r="G34" s="374">
        <v>910896620.3216109</v>
      </c>
      <c r="H34" s="374">
        <v>946254358.9163003</v>
      </c>
      <c r="I34" s="374">
        <v>951452352.5771335</v>
      </c>
      <c r="J34" s="374">
        <v>910475832.071868</v>
      </c>
      <c r="K34" s="374">
        <v>972762792.448806</v>
      </c>
      <c r="L34" s="374">
        <v>1035877824.0352029</v>
      </c>
      <c r="M34" s="374">
        <v>1234482169.6868703</v>
      </c>
      <c r="N34" s="244">
        <f>SUM(B34:M34)</f>
        <v>12647112031.127361</v>
      </c>
    </row>
    <row r="35" spans="1:14" ht="12.75">
      <c r="A35" s="286" t="s">
        <v>292</v>
      </c>
      <c r="B35" s="374">
        <v>1295767995.0420094</v>
      </c>
      <c r="C35" s="374">
        <v>1170573438.7573028</v>
      </c>
      <c r="D35" s="374">
        <v>1204732987.5721262</v>
      </c>
      <c r="E35" s="374">
        <v>1035710258.520862</v>
      </c>
      <c r="F35" s="374">
        <v>989059401.177272</v>
      </c>
      <c r="G35" s="374">
        <v>910899620.3216109</v>
      </c>
      <c r="H35" s="374">
        <v>954254358.9163003</v>
      </c>
      <c r="I35" s="374">
        <v>956449352.5771335</v>
      </c>
      <c r="J35" s="374">
        <v>910475832.071868</v>
      </c>
      <c r="K35" s="374">
        <v>975762792.448806</v>
      </c>
      <c r="L35" s="374">
        <v>1037877824.0352029</v>
      </c>
      <c r="M35" s="374">
        <v>1240454169.6868703</v>
      </c>
      <c r="N35" s="244">
        <f>SUM(B35:M35)</f>
        <v>12682018031.127361</v>
      </c>
    </row>
    <row r="36" spans="1:14" ht="12.75">
      <c r="A36" s="286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</row>
    <row r="37" ht="12.75">
      <c r="E37" s="296"/>
    </row>
    <row r="38" spans="1:14" ht="12.75">
      <c r="A38" s="228" t="s">
        <v>55</v>
      </c>
      <c r="B38" s="231">
        <v>153671712</v>
      </c>
      <c r="C38" s="231">
        <v>143757408</v>
      </c>
      <c r="D38" s="231">
        <v>153671712</v>
      </c>
      <c r="E38" s="231">
        <v>148714560</v>
      </c>
      <c r="F38" s="231">
        <v>153671712</v>
      </c>
      <c r="G38" s="231">
        <v>148714560</v>
      </c>
      <c r="H38" s="231">
        <v>153671712</v>
      </c>
      <c r="I38" s="231">
        <v>153671712</v>
      </c>
      <c r="J38" s="231">
        <v>148714560</v>
      </c>
      <c r="K38" s="231">
        <v>153671712</v>
      </c>
      <c r="L38" s="231">
        <v>148714560</v>
      </c>
      <c r="M38" s="231">
        <v>153671712</v>
      </c>
      <c r="N38" s="234">
        <f>SUM(B38:M38)</f>
        <v>1814317632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17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view="pageBreakPreview" zoomScale="60" zoomScalePageLayoutView="0" workbookViewId="0" topLeftCell="A1">
      <pane xSplit="1" ySplit="3" topLeftCell="B4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F43" sqref="F43:H45"/>
    </sheetView>
  </sheetViews>
  <sheetFormatPr defaultColWidth="9.140625" defaultRowHeight="12.75"/>
  <cols>
    <col min="1" max="1" width="45.8515625" style="228" customWidth="1"/>
    <col min="2" max="2" width="15.57421875" style="228" bestFit="1" customWidth="1"/>
    <col min="3" max="3" width="14.00390625" style="228" bestFit="1" customWidth="1"/>
    <col min="4" max="5" width="13.00390625" style="228" bestFit="1" customWidth="1"/>
    <col min="6" max="8" width="12.8515625" style="228" bestFit="1" customWidth="1"/>
    <col min="9" max="9" width="13.421875" style="228" customWidth="1"/>
    <col min="10" max="12" width="12.8515625" style="228" bestFit="1" customWidth="1"/>
    <col min="13" max="13" width="11.8515625" style="228" customWidth="1"/>
    <col min="14" max="15" width="12.8515625" style="228" bestFit="1" customWidth="1"/>
    <col min="16" max="16384" width="9.140625" style="228" customWidth="1"/>
  </cols>
  <sheetData>
    <row r="1" spans="1:15" ht="12.75">
      <c r="A1" s="236" t="s">
        <v>201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ht="12.75">
      <c r="A2" s="322"/>
      <c r="B2" s="353">
        <v>2011</v>
      </c>
      <c r="C2" s="353">
        <v>2011</v>
      </c>
      <c r="D2" s="353">
        <v>2011</v>
      </c>
      <c r="E2" s="353">
        <v>2011</v>
      </c>
      <c r="F2" s="353">
        <v>2011</v>
      </c>
      <c r="G2" s="353">
        <v>2011</v>
      </c>
      <c r="H2" s="353">
        <v>2011</v>
      </c>
      <c r="I2" s="353">
        <v>2011</v>
      </c>
      <c r="J2" s="353">
        <v>2011</v>
      </c>
      <c r="K2" s="353">
        <v>2011</v>
      </c>
      <c r="L2" s="353">
        <v>2011</v>
      </c>
      <c r="M2" s="353">
        <v>2011</v>
      </c>
      <c r="N2" s="353" t="s">
        <v>129</v>
      </c>
      <c r="O2" s="322"/>
    </row>
    <row r="3" spans="1:15" ht="12.75">
      <c r="A3" s="322"/>
      <c r="B3" s="353" t="s">
        <v>75</v>
      </c>
      <c r="C3" s="353" t="s">
        <v>76</v>
      </c>
      <c r="D3" s="353" t="s">
        <v>77</v>
      </c>
      <c r="E3" s="353" t="s">
        <v>78</v>
      </c>
      <c r="F3" s="353" t="s">
        <v>79</v>
      </c>
      <c r="G3" s="353" t="s">
        <v>80</v>
      </c>
      <c r="H3" s="353" t="s">
        <v>81</v>
      </c>
      <c r="I3" s="353" t="s">
        <v>82</v>
      </c>
      <c r="J3" s="353" t="s">
        <v>83</v>
      </c>
      <c r="K3" s="353" t="s">
        <v>84</v>
      </c>
      <c r="L3" s="353" t="s">
        <v>85</v>
      </c>
      <c r="M3" s="353" t="s">
        <v>86</v>
      </c>
      <c r="N3" s="353" t="s">
        <v>202</v>
      </c>
      <c r="O3" s="353" t="s">
        <v>203</v>
      </c>
    </row>
    <row r="4" spans="1:15" ht="12.75">
      <c r="A4" s="322" t="s">
        <v>204</v>
      </c>
      <c r="B4" s="231">
        <v>1172909.7875283593</v>
      </c>
      <c r="C4" s="231">
        <v>1056738.0299204246</v>
      </c>
      <c r="D4" s="231">
        <v>865466.3315517784</v>
      </c>
      <c r="E4" s="231">
        <v>759366.193573777</v>
      </c>
      <c r="F4" s="231">
        <v>637211.5142736117</v>
      </c>
      <c r="G4" s="231">
        <v>392473.0451347144</v>
      </c>
      <c r="H4" s="231">
        <v>464539.1768091665</v>
      </c>
      <c r="I4" s="231">
        <v>524411.0400156368</v>
      </c>
      <c r="J4" s="231">
        <v>510295.3462938749</v>
      </c>
      <c r="K4" s="231">
        <v>681918.3539659131</v>
      </c>
      <c r="L4" s="231">
        <v>911650.9584079401</v>
      </c>
      <c r="M4" s="231">
        <v>1042118.8414020368</v>
      </c>
      <c r="N4" s="231">
        <v>1172909.7875283593</v>
      </c>
      <c r="O4" s="231">
        <v>3271766.6588508207</v>
      </c>
    </row>
    <row r="5" spans="1:15" ht="12.75">
      <c r="A5" s="322" t="s">
        <v>205</v>
      </c>
      <c r="B5" s="231">
        <v>28106.823321533313</v>
      </c>
      <c r="C5" s="231">
        <v>27457.679511171587</v>
      </c>
      <c r="D5" s="231">
        <v>20066.850857958005</v>
      </c>
      <c r="E5" s="231">
        <v>17724.934129680587</v>
      </c>
      <c r="F5" s="231">
        <v>15420.933479285019</v>
      </c>
      <c r="G5" s="231">
        <v>12889.38685580307</v>
      </c>
      <c r="H5" s="231">
        <v>11533.592738526995</v>
      </c>
      <c r="I5" s="231">
        <v>10903.0484728674</v>
      </c>
      <c r="J5" s="231">
        <v>10885.572889653851</v>
      </c>
      <c r="K5" s="231">
        <v>13345.921275897854</v>
      </c>
      <c r="L5" s="231">
        <v>48339.64350849304</v>
      </c>
      <c r="M5" s="231">
        <v>34121.07141049608</v>
      </c>
      <c r="N5" s="231">
        <v>28106.823321533313</v>
      </c>
      <c r="O5" s="231">
        <v>89685.57424320099</v>
      </c>
    </row>
    <row r="6" spans="1:15" ht="12.75">
      <c r="A6" s="322" t="s">
        <v>11</v>
      </c>
      <c r="B6" s="231">
        <v>55490.598766466646</v>
      </c>
      <c r="C6" s="231">
        <v>58012.51115993371</v>
      </c>
      <c r="D6" s="231">
        <v>33128.589229682955</v>
      </c>
      <c r="E6" s="231">
        <v>31165.035145350434</v>
      </c>
      <c r="F6" s="231">
        <v>25206.23589948915</v>
      </c>
      <c r="G6" s="231">
        <v>35677.497702866094</v>
      </c>
      <c r="H6" s="231">
        <v>37655.81282093815</v>
      </c>
      <c r="I6" s="231">
        <v>26699.487814392298</v>
      </c>
      <c r="J6" s="231">
        <v>31944.78029966902</v>
      </c>
      <c r="K6" s="231">
        <v>29286.93959295549</v>
      </c>
      <c r="L6" s="231">
        <v>27502.11006755441</v>
      </c>
      <c r="M6" s="231">
        <v>47770.43459586857</v>
      </c>
      <c r="N6" s="231">
        <v>55490.598766466646</v>
      </c>
      <c r="O6" s="231">
        <v>161273.54452226893</v>
      </c>
    </row>
    <row r="7" spans="1:15" ht="12.75">
      <c r="A7" s="322" t="s">
        <v>12</v>
      </c>
      <c r="B7" s="231">
        <v>410840.2302294055</v>
      </c>
      <c r="C7" s="231">
        <v>449002.973494996</v>
      </c>
      <c r="D7" s="231">
        <v>449557.3608342694</v>
      </c>
      <c r="E7" s="231">
        <v>378880.26144709915</v>
      </c>
      <c r="F7" s="231">
        <v>333695.55132831715</v>
      </c>
      <c r="G7" s="231">
        <v>420233.83606508194</v>
      </c>
      <c r="H7" s="231">
        <v>437847.81976715784</v>
      </c>
      <c r="I7" s="231">
        <v>381022.3465293123</v>
      </c>
      <c r="J7" s="231">
        <v>319473.6499721148</v>
      </c>
      <c r="K7" s="231">
        <v>302334.1777656742</v>
      </c>
      <c r="L7" s="231">
        <v>292300.5409364807</v>
      </c>
      <c r="M7" s="231">
        <v>460222.50343895896</v>
      </c>
      <c r="N7" s="231">
        <v>410840.2302294055</v>
      </c>
      <c r="O7" s="231">
        <v>1320065.7071633604</v>
      </c>
    </row>
    <row r="8" spans="1:15" ht="12.75">
      <c r="A8" s="322" t="s">
        <v>13</v>
      </c>
      <c r="B8" s="231">
        <v>56399.458102588585</v>
      </c>
      <c r="C8" s="231">
        <v>56600.636031312504</v>
      </c>
      <c r="D8" s="231">
        <v>63124.285786006774</v>
      </c>
      <c r="E8" s="231">
        <v>57601.327638238596</v>
      </c>
      <c r="F8" s="231">
        <v>54108.55655092176</v>
      </c>
      <c r="G8" s="231">
        <v>65684.01443916862</v>
      </c>
      <c r="H8" s="231">
        <v>68270.80947761681</v>
      </c>
      <c r="I8" s="231">
        <v>63468.00863404011</v>
      </c>
      <c r="J8" s="231">
        <v>46643.91292262281</v>
      </c>
      <c r="K8" s="231">
        <v>49808.28533640702</v>
      </c>
      <c r="L8" s="231">
        <v>45781.03052743922</v>
      </c>
      <c r="M8" s="231">
        <v>55072.59594856864</v>
      </c>
      <c r="N8" s="231">
        <v>56399.458102588585</v>
      </c>
      <c r="O8" s="231">
        <v>168072.69008246972</v>
      </c>
    </row>
    <row r="9" spans="1:15" ht="12.75">
      <c r="A9" s="322" t="s">
        <v>14</v>
      </c>
      <c r="B9" s="231">
        <v>33581.651499557716</v>
      </c>
      <c r="C9" s="231">
        <v>35683.253057906426</v>
      </c>
      <c r="D9" s="231">
        <v>41060.74564251496</v>
      </c>
      <c r="E9" s="231">
        <v>43465.412207255045</v>
      </c>
      <c r="F9" s="231">
        <v>35885.12278837502</v>
      </c>
      <c r="G9" s="231">
        <v>41865.82638553381</v>
      </c>
      <c r="H9" s="231">
        <v>42872.38399164345</v>
      </c>
      <c r="I9" s="231">
        <v>35114.45260870068</v>
      </c>
      <c r="J9" s="231">
        <v>29982.73395946686</v>
      </c>
      <c r="K9" s="231">
        <v>26403.850352082587</v>
      </c>
      <c r="L9" s="231">
        <v>24852.24112645057</v>
      </c>
      <c r="M9" s="231">
        <v>32441.221860082976</v>
      </c>
      <c r="N9" s="231">
        <v>33581.651499557716</v>
      </c>
      <c r="O9" s="231">
        <v>101706.12641754713</v>
      </c>
    </row>
    <row r="10" spans="1:15" ht="12.75">
      <c r="A10" s="322" t="s">
        <v>15</v>
      </c>
      <c r="B10" s="231">
        <v>63497.52704277427</v>
      </c>
      <c r="C10" s="231">
        <v>61564.59328292112</v>
      </c>
      <c r="D10" s="231">
        <v>68938.79398091086</v>
      </c>
      <c r="E10" s="231">
        <v>69683.9857932724</v>
      </c>
      <c r="F10" s="231">
        <v>56123.567962546265</v>
      </c>
      <c r="G10" s="231">
        <v>66377.30380415438</v>
      </c>
      <c r="H10" s="231">
        <v>65788.27373593595</v>
      </c>
      <c r="I10" s="231">
        <v>61858.16982028788</v>
      </c>
      <c r="J10" s="231">
        <v>64382.01410401129</v>
      </c>
      <c r="K10" s="231">
        <v>61323.06262311024</v>
      </c>
      <c r="L10" s="231">
        <v>42213.53762338359</v>
      </c>
      <c r="M10" s="231">
        <v>61490.342830908296</v>
      </c>
      <c r="N10" s="231">
        <v>63497.52704277427</v>
      </c>
      <c r="O10" s="231">
        <v>186552.46315660368</v>
      </c>
    </row>
    <row r="11" spans="1:15" ht="12.75">
      <c r="A11" s="322" t="s">
        <v>206</v>
      </c>
      <c r="B11" s="231">
        <v>111820.46254232692</v>
      </c>
      <c r="C11" s="231">
        <v>114132.64408132977</v>
      </c>
      <c r="D11" s="231">
        <v>104364.54454096896</v>
      </c>
      <c r="E11" s="231">
        <v>114666.93486722274</v>
      </c>
      <c r="F11" s="231">
        <v>117460.87164706552</v>
      </c>
      <c r="G11" s="231">
        <v>123416.40494848149</v>
      </c>
      <c r="H11" s="231">
        <v>112515.93494602546</v>
      </c>
      <c r="I11" s="231">
        <v>117224.60902348171</v>
      </c>
      <c r="J11" s="231">
        <v>133946.40817164295</v>
      </c>
      <c r="K11" s="231">
        <v>120734.38050440351</v>
      </c>
      <c r="L11" s="231">
        <v>111030.0100091187</v>
      </c>
      <c r="M11" s="231">
        <v>113491.54316140027</v>
      </c>
      <c r="N11" s="231">
        <v>111820.46254232692</v>
      </c>
      <c r="O11" s="231">
        <v>339444.649785057</v>
      </c>
    </row>
    <row r="12" spans="1:15" ht="12.75">
      <c r="A12" s="322" t="s">
        <v>207</v>
      </c>
      <c r="B12" s="231">
        <v>29562.306010986278</v>
      </c>
      <c r="C12" s="231">
        <v>30383.69290999813</v>
      </c>
      <c r="D12" s="231">
        <v>29704.623190774466</v>
      </c>
      <c r="E12" s="231">
        <v>36191.848791511715</v>
      </c>
      <c r="F12" s="231">
        <v>24612.39166777107</v>
      </c>
      <c r="G12" s="231">
        <v>28789.74444847671</v>
      </c>
      <c r="H12" s="231">
        <v>29237.410298195482</v>
      </c>
      <c r="I12" s="231">
        <v>27154.906358361604</v>
      </c>
      <c r="J12" s="231">
        <v>31911.15006413039</v>
      </c>
      <c r="K12" s="231">
        <v>27757.45335465708</v>
      </c>
      <c r="L12" s="231">
        <v>28951.877717506115</v>
      </c>
      <c r="M12" s="231">
        <v>28919.028242286204</v>
      </c>
      <c r="N12" s="231">
        <v>29562.306010986278</v>
      </c>
      <c r="O12" s="231">
        <v>88865.02716327061</v>
      </c>
    </row>
    <row r="13" spans="1:15" ht="12.75">
      <c r="A13" s="322" t="s">
        <v>208</v>
      </c>
      <c r="B13" s="231">
        <v>82258.15653134065</v>
      </c>
      <c r="C13" s="231">
        <v>83748.95117133165</v>
      </c>
      <c r="D13" s="231">
        <v>74659.92135019448</v>
      </c>
      <c r="E13" s="231">
        <v>78475.08607571102</v>
      </c>
      <c r="F13" s="231">
        <v>92848.47997929444</v>
      </c>
      <c r="G13" s="231">
        <v>94626.66050000477</v>
      </c>
      <c r="H13" s="231">
        <v>83278.52464782997</v>
      </c>
      <c r="I13" s="231">
        <v>90069.7026651201</v>
      </c>
      <c r="J13" s="231">
        <v>102035.25810751258</v>
      </c>
      <c r="K13" s="231">
        <v>92976.92714974645</v>
      </c>
      <c r="L13" s="231">
        <v>82078.13229161261</v>
      </c>
      <c r="M13" s="231">
        <v>84572.51491911407</v>
      </c>
      <c r="N13" s="231">
        <v>82258.15653134065</v>
      </c>
      <c r="O13" s="231">
        <v>250579.62262178634</v>
      </c>
    </row>
    <row r="14" spans="1:15" ht="12.75">
      <c r="A14" s="322" t="s">
        <v>209</v>
      </c>
      <c r="B14" s="231">
        <v>-72.44819667716283</v>
      </c>
      <c r="C14" s="231">
        <v>-345.69515407249867</v>
      </c>
      <c r="D14" s="231">
        <v>-697.9578959318263</v>
      </c>
      <c r="E14" s="231">
        <v>-655.9088280705291</v>
      </c>
      <c r="F14" s="231">
        <v>2277.538283573512</v>
      </c>
      <c r="G14" s="231">
        <v>-622.4309572305353</v>
      </c>
      <c r="H14" s="231">
        <v>4740.7668781875345</v>
      </c>
      <c r="I14" s="231">
        <v>-170.40868875695102</v>
      </c>
      <c r="J14" s="231">
        <v>5066.278377326605</v>
      </c>
      <c r="K14" s="231">
        <v>-159.18429377507272</v>
      </c>
      <c r="L14" s="231">
        <v>8595.527377563738</v>
      </c>
      <c r="M14" s="231">
        <v>1994.0529046224335</v>
      </c>
      <c r="N14" s="231">
        <v>-72.44819667716283</v>
      </c>
      <c r="O14" s="231">
        <v>1575.909553872772</v>
      </c>
    </row>
    <row r="15" spans="1:15" ht="12.75">
      <c r="A15" s="322" t="s">
        <v>210</v>
      </c>
      <c r="B15" s="231">
        <v>28571.2</v>
      </c>
      <c r="C15" s="231">
        <v>28571.2</v>
      </c>
      <c r="D15" s="231">
        <v>28571.2</v>
      </c>
      <c r="E15" s="231">
        <v>28571.2</v>
      </c>
      <c r="F15" s="231">
        <v>28571.2</v>
      </c>
      <c r="G15" s="231">
        <v>28571.2</v>
      </c>
      <c r="H15" s="231">
        <v>28571.2</v>
      </c>
      <c r="I15" s="231">
        <v>28571.2</v>
      </c>
      <c r="J15" s="231">
        <v>28571.2</v>
      </c>
      <c r="K15" s="231">
        <v>28571.2</v>
      </c>
      <c r="L15" s="231">
        <v>28571.2</v>
      </c>
      <c r="M15" s="231">
        <v>28571.2</v>
      </c>
      <c r="N15" s="231">
        <v>28571.2</v>
      </c>
      <c r="O15" s="231">
        <v>85713.6</v>
      </c>
    </row>
    <row r="16" spans="1:15" ht="12.75">
      <c r="A16" s="322" t="s">
        <v>211</v>
      </c>
      <c r="B16" s="231">
        <v>14285.6</v>
      </c>
      <c r="C16" s="231">
        <v>14285.6</v>
      </c>
      <c r="D16" s="231">
        <v>14285.6</v>
      </c>
      <c r="E16" s="231">
        <v>14285.6</v>
      </c>
      <c r="F16" s="231">
        <v>14285.6</v>
      </c>
      <c r="G16" s="231">
        <v>14285.6</v>
      </c>
      <c r="H16" s="231">
        <v>14285.6</v>
      </c>
      <c r="I16" s="231">
        <v>14285.6</v>
      </c>
      <c r="J16" s="231">
        <v>14285.6</v>
      </c>
      <c r="K16" s="231">
        <v>14285.6</v>
      </c>
      <c r="L16" s="231">
        <v>14285.6</v>
      </c>
      <c r="M16" s="231">
        <v>14285.6</v>
      </c>
      <c r="N16" s="231">
        <v>14285.6</v>
      </c>
      <c r="O16" s="231">
        <v>42856.8</v>
      </c>
    </row>
    <row r="17" spans="1:15" ht="12.75">
      <c r="A17" s="322" t="s">
        <v>212</v>
      </c>
      <c r="B17" s="231">
        <v>226781.85919999998</v>
      </c>
      <c r="C17" s="231">
        <v>226781.85919999998</v>
      </c>
      <c r="D17" s="231">
        <v>226781.85919999998</v>
      </c>
      <c r="E17" s="231">
        <v>226781.85919999998</v>
      </c>
      <c r="F17" s="231">
        <v>226781.85919999998</v>
      </c>
      <c r="G17" s="231">
        <v>226781.85919999998</v>
      </c>
      <c r="H17" s="231">
        <v>226781.85919999998</v>
      </c>
      <c r="I17" s="231">
        <v>226781.85919999998</v>
      </c>
      <c r="J17" s="231">
        <v>226781.85919999998</v>
      </c>
      <c r="K17" s="231">
        <v>226781.85919999998</v>
      </c>
      <c r="L17" s="231">
        <v>226781.85919999998</v>
      </c>
      <c r="M17" s="231">
        <v>226781.85919999998</v>
      </c>
      <c r="N17" s="231">
        <v>226781.85919999998</v>
      </c>
      <c r="O17" s="231">
        <v>680345.5776</v>
      </c>
    </row>
    <row r="18" spans="1:15" ht="12.75">
      <c r="A18" s="322" t="s">
        <v>17</v>
      </c>
      <c r="B18" s="231">
        <v>43543.68649807168</v>
      </c>
      <c r="C18" s="231">
        <v>42148.21377498682</v>
      </c>
      <c r="D18" s="231">
        <v>38318.83395377417</v>
      </c>
      <c r="E18" s="231">
        <v>32833.173593160296</v>
      </c>
      <c r="F18" s="231">
        <v>26961.066267964256</v>
      </c>
      <c r="G18" s="231">
        <v>26013.75986852682</v>
      </c>
      <c r="H18" s="231">
        <v>26490.942768287674</v>
      </c>
      <c r="I18" s="231">
        <v>24581.511354207098</v>
      </c>
      <c r="J18" s="231">
        <v>24098.754746832492</v>
      </c>
      <c r="K18" s="231">
        <v>30353.99741480388</v>
      </c>
      <c r="L18" s="231">
        <v>32576.299086432613</v>
      </c>
      <c r="M18" s="231">
        <v>42184.14084682005</v>
      </c>
      <c r="N18" s="231">
        <v>43543.68649807168</v>
      </c>
      <c r="O18" s="231">
        <v>127876.04111987856</v>
      </c>
    </row>
    <row r="19" spans="1:15" ht="12.75">
      <c r="A19" s="322" t="s">
        <v>163</v>
      </c>
      <c r="B19" s="231">
        <v>30257.283066669024</v>
      </c>
      <c r="C19" s="231">
        <v>11662.175277151608</v>
      </c>
      <c r="D19" s="231">
        <v>2775.0310015160753</v>
      </c>
      <c r="E19" s="231">
        <v>2733.9071353579084</v>
      </c>
      <c r="F19" s="231">
        <v>3344.166725205805</v>
      </c>
      <c r="G19" s="231">
        <v>3511.376685588749</v>
      </c>
      <c r="H19" s="231">
        <v>3336.429303640627</v>
      </c>
      <c r="I19" s="231">
        <v>3051.650146108192</v>
      </c>
      <c r="J19" s="231">
        <v>18811.94176108406</v>
      </c>
      <c r="K19" s="231">
        <v>13931.964056406363</v>
      </c>
      <c r="L19" s="231">
        <v>19709.03998913223</v>
      </c>
      <c r="M19" s="231">
        <v>30667.01779104612</v>
      </c>
      <c r="N19" s="231">
        <v>30257.283066669024</v>
      </c>
      <c r="O19" s="231">
        <v>72586.47613486675</v>
      </c>
    </row>
    <row r="20" spans="1:15" ht="12.75">
      <c r="A20" s="354" t="s">
        <v>213</v>
      </c>
      <c r="B20" s="231">
        <v>2276013.7196010756</v>
      </c>
      <c r="C20" s="231">
        <v>2182295.6736380616</v>
      </c>
      <c r="D20" s="231">
        <v>1955742.0686834487</v>
      </c>
      <c r="E20" s="231">
        <v>1777103.9159023436</v>
      </c>
      <c r="F20" s="231">
        <v>1577333.784406355</v>
      </c>
      <c r="G20" s="231">
        <v>1457158.6801326885</v>
      </c>
      <c r="H20" s="231">
        <v>1545230.602437127</v>
      </c>
      <c r="I20" s="231">
        <v>1517802.5749302774</v>
      </c>
      <c r="J20" s="231">
        <v>1465170.0526982995</v>
      </c>
      <c r="K20" s="231">
        <v>1598920.407793879</v>
      </c>
      <c r="L20" s="231">
        <v>1834189.5978599892</v>
      </c>
      <c r="M20" s="231">
        <v>2191212.42539081</v>
      </c>
      <c r="N20" s="231">
        <v>2276013.7196010756</v>
      </c>
      <c r="O20" s="231">
        <v>6649521.818629947</v>
      </c>
    </row>
    <row r="21" spans="1:15" ht="12.75">
      <c r="A21" s="354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1:15" ht="12.75">
      <c r="A22" s="355" t="s">
        <v>245</v>
      </c>
      <c r="B22" s="356">
        <f>'Monthly LL'!N48/(SUM(N4:N11,N17:N19)*8760)</f>
        <v>0.6147009152741008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4" spans="1:7" ht="12.75">
      <c r="A24" s="357" t="s">
        <v>214</v>
      </c>
      <c r="B24" s="353" t="s">
        <v>234</v>
      </c>
      <c r="C24" s="353" t="s">
        <v>223</v>
      </c>
      <c r="D24" s="353" t="s">
        <v>224</v>
      </c>
      <c r="E24" s="358"/>
      <c r="F24" s="358"/>
      <c r="G24" s="358"/>
    </row>
    <row r="25" spans="1:7" ht="12.75">
      <c r="A25" s="322" t="s">
        <v>215</v>
      </c>
      <c r="B25" s="359">
        <f aca="true" t="shared" si="0" ref="B25:B41">ROUND((C25+D25)/2,0)</f>
        <v>977802</v>
      </c>
      <c r="C25" s="359">
        <f>1177653-C27</f>
        <v>973312</v>
      </c>
      <c r="D25" s="359">
        <f>1178131-D27</f>
        <v>982291</v>
      </c>
      <c r="E25" s="358"/>
      <c r="F25" s="358"/>
      <c r="G25" s="358"/>
    </row>
    <row r="26" spans="1:7" ht="12.75">
      <c r="A26" s="322" t="s">
        <v>226</v>
      </c>
      <c r="B26" s="359">
        <f t="shared" si="0"/>
        <v>58376</v>
      </c>
      <c r="C26" s="359">
        <f>57647-C28</f>
        <v>42937</v>
      </c>
      <c r="D26" s="359">
        <f>74664-D28</f>
        <v>73815</v>
      </c>
      <c r="E26" s="360"/>
      <c r="F26" s="360"/>
      <c r="G26" s="360"/>
    </row>
    <row r="27" spans="1:7" ht="12.75">
      <c r="A27" s="322" t="s">
        <v>227</v>
      </c>
      <c r="B27" s="359">
        <f t="shared" si="0"/>
        <v>200091</v>
      </c>
      <c r="C27" s="359">
        <v>204341</v>
      </c>
      <c r="D27" s="359">
        <v>195840</v>
      </c>
      <c r="E27" s="360"/>
      <c r="F27" s="360"/>
      <c r="G27" s="360"/>
    </row>
    <row r="28" spans="1:7" ht="12.75">
      <c r="A28" s="322" t="s">
        <v>225</v>
      </c>
      <c r="B28" s="359">
        <f t="shared" si="0"/>
        <v>7780</v>
      </c>
      <c r="C28" s="359">
        <v>14710</v>
      </c>
      <c r="D28" s="359">
        <v>849</v>
      </c>
      <c r="E28" s="360"/>
      <c r="F28" s="360"/>
      <c r="G28" s="360"/>
    </row>
    <row r="29" spans="1:7" ht="12.75">
      <c r="A29" s="322" t="s">
        <v>216</v>
      </c>
      <c r="B29" s="359">
        <f t="shared" si="0"/>
        <v>280008</v>
      </c>
      <c r="C29" s="359">
        <f>412113-C31</f>
        <v>268285</v>
      </c>
      <c r="D29" s="359">
        <f>537896-D31</f>
        <v>291731</v>
      </c>
      <c r="E29" s="360"/>
      <c r="F29" s="360"/>
      <c r="G29" s="360"/>
    </row>
    <row r="30" spans="1:7" ht="12.75">
      <c r="A30" s="322" t="s">
        <v>228</v>
      </c>
      <c r="B30" s="359">
        <f t="shared" si="0"/>
        <v>17351</v>
      </c>
      <c r="C30" s="359">
        <v>16375</v>
      </c>
      <c r="D30" s="359">
        <v>18327</v>
      </c>
      <c r="E30" s="360"/>
      <c r="F30" s="360"/>
      <c r="G30" s="360"/>
    </row>
    <row r="31" spans="1:7" ht="12.75">
      <c r="A31" s="322" t="s">
        <v>217</v>
      </c>
      <c r="B31" s="359">
        <f t="shared" si="0"/>
        <v>194997</v>
      </c>
      <c r="C31" s="359">
        <v>143828</v>
      </c>
      <c r="D31" s="359">
        <v>246165</v>
      </c>
      <c r="E31" s="360"/>
      <c r="F31" s="360"/>
      <c r="G31" s="360"/>
    </row>
    <row r="32" spans="1:7" ht="12.75">
      <c r="A32" s="322" t="s">
        <v>229</v>
      </c>
      <c r="B32" s="359">
        <f t="shared" si="0"/>
        <v>11377</v>
      </c>
      <c r="C32" s="359">
        <v>21377</v>
      </c>
      <c r="D32" s="359">
        <v>1377</v>
      </c>
      <c r="E32" s="360"/>
      <c r="F32" s="360"/>
      <c r="G32" s="360"/>
    </row>
    <row r="33" spans="1:7" ht="12.75">
      <c r="A33" s="322" t="s">
        <v>230</v>
      </c>
      <c r="B33" s="359">
        <f t="shared" si="0"/>
        <v>9541</v>
      </c>
      <c r="C33" s="359">
        <v>8264</v>
      </c>
      <c r="D33" s="359">
        <v>10817</v>
      </c>
      <c r="E33" s="360"/>
      <c r="F33" s="360"/>
      <c r="G33" s="360"/>
    </row>
    <row r="34" spans="1:7" ht="12.75">
      <c r="A34" s="322" t="s">
        <v>231</v>
      </c>
      <c r="B34" s="359">
        <f t="shared" si="0"/>
        <v>1658</v>
      </c>
      <c r="C34" s="359">
        <f>4485-2840</f>
        <v>1645</v>
      </c>
      <c r="D34" s="359">
        <f>4510-2840</f>
        <v>1670</v>
      </c>
      <c r="E34" s="360"/>
      <c r="F34" s="360"/>
      <c r="G34" s="360"/>
    </row>
    <row r="35" spans="1:7" ht="12.75">
      <c r="A35" s="322" t="s">
        <v>218</v>
      </c>
      <c r="B35" s="359">
        <f t="shared" si="0"/>
        <v>56292</v>
      </c>
      <c r="C35" s="359">
        <v>57542</v>
      </c>
      <c r="D35" s="359">
        <v>55042</v>
      </c>
      <c r="E35" s="358"/>
      <c r="F35" s="358"/>
      <c r="G35" s="358"/>
    </row>
    <row r="36" spans="1:7" ht="15">
      <c r="A36" s="322" t="s">
        <v>232</v>
      </c>
      <c r="B36" s="359">
        <f t="shared" si="0"/>
        <v>3305</v>
      </c>
      <c r="C36" s="359">
        <v>3305</v>
      </c>
      <c r="D36" s="359">
        <v>3305</v>
      </c>
      <c r="E36" s="360"/>
      <c r="F36" s="361"/>
      <c r="G36" s="361"/>
    </row>
    <row r="37" spans="1:7" ht="15">
      <c r="A37" s="322" t="s">
        <v>221</v>
      </c>
      <c r="B37" s="359">
        <f t="shared" si="0"/>
        <v>214262</v>
      </c>
      <c r="C37" s="359">
        <v>173526</v>
      </c>
      <c r="D37" s="359">
        <v>254998</v>
      </c>
      <c r="E37" s="362"/>
      <c r="F37" s="363"/>
      <c r="G37" s="364"/>
    </row>
    <row r="38" spans="1:7" ht="12.75">
      <c r="A38" s="322" t="s">
        <v>233</v>
      </c>
      <c r="B38" s="359">
        <f t="shared" si="0"/>
        <v>21523</v>
      </c>
      <c r="C38" s="359">
        <v>56913</v>
      </c>
      <c r="D38" s="359">
        <v>-13868</v>
      </c>
      <c r="E38" s="358"/>
      <c r="F38" s="358"/>
      <c r="G38" s="358"/>
    </row>
    <row r="39" spans="1:7" ht="12.75">
      <c r="A39" s="322" t="s">
        <v>242</v>
      </c>
      <c r="B39" s="359">
        <f t="shared" si="0"/>
        <v>326619</v>
      </c>
      <c r="C39" s="359">
        <v>295259</v>
      </c>
      <c r="D39" s="359">
        <v>357978</v>
      </c>
      <c r="E39" s="358"/>
      <c r="F39" s="358"/>
      <c r="G39" s="358"/>
    </row>
    <row r="40" spans="1:7" ht="12.75">
      <c r="A40" s="322" t="s">
        <v>241</v>
      </c>
      <c r="B40" s="359">
        <f t="shared" si="0"/>
        <v>22267</v>
      </c>
      <c r="C40" s="359">
        <v>32887</v>
      </c>
      <c r="D40" s="359">
        <v>11647</v>
      </c>
      <c r="E40" s="358"/>
      <c r="F40" s="358"/>
      <c r="G40" s="358"/>
    </row>
    <row r="41" spans="1:7" ht="12.75">
      <c r="A41" s="322" t="s">
        <v>243</v>
      </c>
      <c r="B41" s="359">
        <f t="shared" si="0"/>
        <v>569874</v>
      </c>
      <c r="C41" s="359">
        <v>565802</v>
      </c>
      <c r="D41" s="359">
        <v>573946.519</v>
      </c>
      <c r="E41" s="358"/>
      <c r="F41" s="358"/>
      <c r="G41" s="358"/>
    </row>
    <row r="42" spans="1:7" ht="12.75">
      <c r="A42" s="322"/>
      <c r="B42" s="359"/>
      <c r="C42" s="359"/>
      <c r="D42" s="359"/>
      <c r="E42" s="358"/>
      <c r="F42" s="358"/>
      <c r="G42" s="358"/>
    </row>
    <row r="43" spans="1:7" ht="12.75">
      <c r="A43" s="322" t="s">
        <v>235</v>
      </c>
      <c r="B43" s="359">
        <f>ROUND((C43+D43)/2,0)</f>
        <v>17895</v>
      </c>
      <c r="C43" s="359">
        <v>17220</v>
      </c>
      <c r="D43" s="359">
        <v>18570</v>
      </c>
      <c r="E43" s="365"/>
      <c r="F43" s="365"/>
      <c r="G43" s="365"/>
    </row>
    <row r="44" spans="1:5" ht="12.75">
      <c r="A44" s="322"/>
      <c r="C44" s="322"/>
      <c r="D44" s="322"/>
      <c r="E44" s="322"/>
    </row>
    <row r="45" spans="1:11" ht="12.75">
      <c r="A45" s="236" t="s">
        <v>247</v>
      </c>
      <c r="C45" s="420" t="s">
        <v>236</v>
      </c>
      <c r="D45" s="420"/>
      <c r="E45" s="420"/>
      <c r="F45" s="420" t="s">
        <v>244</v>
      </c>
      <c r="G45" s="420"/>
      <c r="H45" s="420"/>
      <c r="I45" s="420" t="s">
        <v>246</v>
      </c>
      <c r="J45" s="420"/>
      <c r="K45" s="420"/>
    </row>
    <row r="46" spans="1:11" ht="12.75">
      <c r="A46" s="322"/>
      <c r="B46" s="366" t="s">
        <v>237</v>
      </c>
      <c r="C46" s="366" t="s">
        <v>238</v>
      </c>
      <c r="D46" s="366" t="s">
        <v>239</v>
      </c>
      <c r="E46" s="366" t="s">
        <v>240</v>
      </c>
      <c r="F46" s="366" t="s">
        <v>238</v>
      </c>
      <c r="G46" s="366" t="s">
        <v>239</v>
      </c>
      <c r="H46" s="366" t="s">
        <v>240</v>
      </c>
      <c r="I46" s="366" t="s">
        <v>238</v>
      </c>
      <c r="J46" s="366" t="s">
        <v>239</v>
      </c>
      <c r="K46" s="366" t="s">
        <v>240</v>
      </c>
    </row>
    <row r="47" spans="1:11" ht="12.75">
      <c r="A47" s="322" t="s">
        <v>215</v>
      </c>
      <c r="B47" s="367">
        <f>SUM(B25:B28)</f>
        <v>1244049</v>
      </c>
      <c r="C47" s="367">
        <f>B47-D47</f>
        <v>1036178</v>
      </c>
      <c r="D47" s="367">
        <f>+B27+B28</f>
        <v>207871</v>
      </c>
      <c r="E47" s="367">
        <v>0</v>
      </c>
      <c r="F47" s="367">
        <f>+C47*-$B$22</f>
        <v>-636939.5649868872</v>
      </c>
      <c r="G47" s="367">
        <f>-F47</f>
        <v>636939.5649868872</v>
      </c>
      <c r="H47" s="367">
        <v>0</v>
      </c>
      <c r="I47" s="367">
        <f aca="true" t="shared" si="1" ref="I47:J51">+C47+F47</f>
        <v>399238.43501311284</v>
      </c>
      <c r="J47" s="367">
        <f t="shared" si="1"/>
        <v>844810.5649868872</v>
      </c>
      <c r="K47" s="367">
        <v>0</v>
      </c>
    </row>
    <row r="48" spans="1:11" ht="12.75">
      <c r="A48" s="322" t="s">
        <v>216</v>
      </c>
      <c r="B48" s="367">
        <f>B29+B30-B43</f>
        <v>279464</v>
      </c>
      <c r="C48" s="367">
        <f>+B48</f>
        <v>279464</v>
      </c>
      <c r="D48" s="367">
        <v>0</v>
      </c>
      <c r="E48" s="367">
        <v>0</v>
      </c>
      <c r="F48" s="367">
        <f>+C48*-$B$22</f>
        <v>-171786.7765861613</v>
      </c>
      <c r="G48" s="367">
        <f>-F48</f>
        <v>171786.7765861613</v>
      </c>
      <c r="H48" s="367">
        <v>0</v>
      </c>
      <c r="I48" s="367">
        <f t="shared" si="1"/>
        <v>107677.22341383871</v>
      </c>
      <c r="J48" s="367">
        <f t="shared" si="1"/>
        <v>171786.7765861613</v>
      </c>
      <c r="K48" s="367">
        <v>0</v>
      </c>
    </row>
    <row r="49" spans="1:11" ht="12.75">
      <c r="A49" s="322" t="s">
        <v>217</v>
      </c>
      <c r="B49" s="367">
        <f>+B31+B32</f>
        <v>206374</v>
      </c>
      <c r="C49" s="367">
        <f>+B49</f>
        <v>206374</v>
      </c>
      <c r="D49" s="367">
        <v>0</v>
      </c>
      <c r="E49" s="367">
        <v>0</v>
      </c>
      <c r="F49" s="367">
        <v>-144461.8</v>
      </c>
      <c r="G49" s="367">
        <f>-F49</f>
        <v>144461.8</v>
      </c>
      <c r="H49" s="367">
        <v>0</v>
      </c>
      <c r="I49" s="367">
        <f t="shared" si="1"/>
        <v>61912.20000000001</v>
      </c>
      <c r="J49" s="367">
        <f t="shared" si="1"/>
        <v>144461.8</v>
      </c>
      <c r="K49" s="367">
        <v>0</v>
      </c>
    </row>
    <row r="50" spans="1:11" ht="12.75">
      <c r="A50" s="322" t="s">
        <v>218</v>
      </c>
      <c r="B50" s="367">
        <f>+B35+B36</f>
        <v>59597</v>
      </c>
      <c r="C50" s="367">
        <f>+B50</f>
        <v>59597</v>
      </c>
      <c r="D50" s="367">
        <v>0</v>
      </c>
      <c r="E50" s="367">
        <v>0</v>
      </c>
      <c r="F50" s="367">
        <f>+C50*-$B$22</f>
        <v>-36634.33044759058</v>
      </c>
      <c r="G50" s="367">
        <f>-F50</f>
        <v>36634.33044759058</v>
      </c>
      <c r="H50" s="367">
        <v>0</v>
      </c>
      <c r="I50" s="367">
        <f t="shared" si="1"/>
        <v>22962.669552409418</v>
      </c>
      <c r="J50" s="367">
        <f t="shared" si="1"/>
        <v>36634.33044759058</v>
      </c>
      <c r="K50" s="367">
        <v>0</v>
      </c>
    </row>
    <row r="51" spans="1:11" ht="12.75">
      <c r="A51" s="322" t="s">
        <v>219</v>
      </c>
      <c r="B51" s="367">
        <f>+B33+B34</f>
        <v>11199</v>
      </c>
      <c r="C51" s="367">
        <f>+B51</f>
        <v>11199</v>
      </c>
      <c r="D51" s="367">
        <v>0</v>
      </c>
      <c r="E51" s="367">
        <v>0</v>
      </c>
      <c r="F51" s="367">
        <v>0</v>
      </c>
      <c r="G51" s="367">
        <f>-F51</f>
        <v>0</v>
      </c>
      <c r="H51" s="367">
        <v>0</v>
      </c>
      <c r="I51" s="367">
        <f t="shared" si="1"/>
        <v>11199</v>
      </c>
      <c r="J51" s="367">
        <f t="shared" si="1"/>
        <v>0</v>
      </c>
      <c r="K51" s="367">
        <v>0</v>
      </c>
    </row>
    <row r="52" spans="1:11" ht="12.75">
      <c r="A52" s="322" t="s">
        <v>220</v>
      </c>
      <c r="B52" s="367">
        <f aca="true" t="shared" si="2" ref="B52:K52">SUM(B47:B51)</f>
        <v>1800683</v>
      </c>
      <c r="C52" s="367">
        <f t="shared" si="2"/>
        <v>1592812</v>
      </c>
      <c r="D52" s="367">
        <f t="shared" si="2"/>
        <v>207871</v>
      </c>
      <c r="E52" s="367">
        <f t="shared" si="2"/>
        <v>0</v>
      </c>
      <c r="F52" s="367">
        <f t="shared" si="2"/>
        <v>-989822.472020639</v>
      </c>
      <c r="G52" s="367">
        <f t="shared" si="2"/>
        <v>989822.472020639</v>
      </c>
      <c r="H52" s="367">
        <f t="shared" si="2"/>
        <v>0</v>
      </c>
      <c r="I52" s="367">
        <f t="shared" si="2"/>
        <v>602989.527979361</v>
      </c>
      <c r="J52" s="367">
        <f t="shared" si="2"/>
        <v>1197693.472020639</v>
      </c>
      <c r="K52" s="367">
        <f t="shared" si="2"/>
        <v>0</v>
      </c>
    </row>
    <row r="53" spans="1:11" ht="12.75">
      <c r="A53" s="322"/>
      <c r="B53" s="367"/>
      <c r="C53" s="367"/>
      <c r="D53" s="367"/>
      <c r="E53" s="367"/>
      <c r="F53" s="367"/>
      <c r="G53" s="367"/>
      <c r="H53" s="367"/>
      <c r="I53" s="367"/>
      <c r="J53" s="367"/>
      <c r="K53" s="367"/>
    </row>
    <row r="54" spans="1:11" ht="12.75">
      <c r="A54" s="322" t="s">
        <v>221</v>
      </c>
      <c r="B54" s="367">
        <f>B52/(SUM(B25:B36,B39:B41)-B43)*(B37+B38)</f>
        <v>156125.36874462897</v>
      </c>
      <c r="C54" s="367">
        <f>(SUM(C47:C51)/SUM(B47:B51))*B54</f>
        <v>138102.24278280517</v>
      </c>
      <c r="D54" s="367">
        <f>(SUM(D47:D51)/SUM(B47:B51))*B54</f>
        <v>18023.125961823804</v>
      </c>
      <c r="E54" s="367">
        <f>SUM(E47:E52)</f>
        <v>0</v>
      </c>
      <c r="F54" s="368">
        <f>(SUM(F47:F51)/SUM(C47:C51))*C54</f>
        <v>-85820.99038861501</v>
      </c>
      <c r="G54" s="367">
        <f>-F54</f>
        <v>85820.99038861501</v>
      </c>
      <c r="H54" s="367">
        <f>SUM(H47:H52)</f>
        <v>0</v>
      </c>
      <c r="I54" s="367">
        <f>+C54+F54</f>
        <v>52281.25239419016</v>
      </c>
      <c r="J54" s="367">
        <f>+D54+G54</f>
        <v>103844.11635043882</v>
      </c>
      <c r="K54" s="367">
        <f>SUM(K47:K52)</f>
        <v>0</v>
      </c>
    </row>
    <row r="55" spans="1:11" ht="12.75">
      <c r="A55" s="322" t="s">
        <v>222</v>
      </c>
      <c r="B55" s="367">
        <f>SUM(B52:B54)</f>
        <v>1956808.368744629</v>
      </c>
      <c r="C55" s="367">
        <f>SUM(C52:C54)</f>
        <v>1730914.242782805</v>
      </c>
      <c r="D55" s="367">
        <f>SUM(D52:D54)</f>
        <v>225894.1259618238</v>
      </c>
      <c r="E55" s="367">
        <f>SUM(E48:E53)</f>
        <v>0</v>
      </c>
      <c r="F55" s="367">
        <f>SUM(F52:F54)</f>
        <v>-1075643.462409254</v>
      </c>
      <c r="G55" s="367">
        <f>SUM(G52:G54)</f>
        <v>1075643.462409254</v>
      </c>
      <c r="H55" s="367">
        <f>SUM(H48:H53)</f>
        <v>0</v>
      </c>
      <c r="I55" s="367">
        <f>SUM(I52:I54)</f>
        <v>655270.7803735512</v>
      </c>
      <c r="J55" s="367">
        <f>SUM(J52:J54)</f>
        <v>1301537.588371078</v>
      </c>
      <c r="K55" s="367">
        <f>SUM(K48:K53)</f>
        <v>0</v>
      </c>
    </row>
    <row r="56" spans="9:10" ht="12.75">
      <c r="I56" s="369">
        <f>I55/$B$55</f>
        <v>0.334867118742922</v>
      </c>
      <c r="J56" s="369">
        <f>J55/$B$55</f>
        <v>0.6651328812570781</v>
      </c>
    </row>
  </sheetData>
  <sheetProtection/>
  <mergeCells count="3">
    <mergeCell ref="C45:E45"/>
    <mergeCell ref="F45:H45"/>
    <mergeCell ref="I45:K45"/>
  </mergeCells>
  <printOptions/>
  <pageMargins left="0.7" right="0.7" top="0.75" bottom="0.75" header="0.3" footer="0.3"/>
  <pageSetup fitToHeight="1" fitToWidth="1" horizontalDpi="600" verticalDpi="600" orientation="landscape" paperSize="17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Prime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CYR, JENNIFER</cp:lastModifiedBy>
  <cp:lastPrinted>2012-06-24T19:28:24Z</cp:lastPrinted>
  <dcterms:created xsi:type="dcterms:W3CDTF">2007-02-25T12:41:29Z</dcterms:created>
  <dcterms:modified xsi:type="dcterms:W3CDTF">2012-06-24T19:34:46Z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Date="-8588610233935066421" Reason="ItemUpdated" Error=""&gt;&lt;Rule Message="" Name="Admin" /&gt;&lt;/Log&gt;</vt:lpwstr>
  </property>
  <property fmtid="{D5CDD505-2E9C-101B-9397-08002B2CF9AE}" pid="6" name="display_urn:schemas-microsoft-com:office:office#IR_Owner">
    <vt:lpwstr>GRUS, VOYTEK</vt:lpwstr>
  </property>
  <property fmtid="{D5CDD505-2E9C-101B-9397-08002B2CF9AE}" pid="7" name="IR_Received_Date">
    <vt:lpwstr>2012-06-11T00:00:00Z</vt:lpwstr>
  </property>
  <property fmtid="{D5CDD505-2E9C-101B-9397-08002B2CF9AE}" pid="8" name="IR_Filing_Date">
    <vt:lpwstr>2012-06-25T00:00:00Z</vt:lpwstr>
  </property>
  <property fmtid="{D5CDD505-2E9C-101B-9397-08002B2CF9AE}" pid="9" name="Order">
    <vt:lpwstr>88500.0000000000</vt:lpwstr>
  </property>
  <property fmtid="{D5CDD505-2E9C-101B-9397-08002B2CF9AE}" pid="10" name="IR_Owner">
    <vt:lpwstr>48</vt:lpwstr>
  </property>
  <property fmtid="{D5CDD505-2E9C-101B-9397-08002B2CF9AE}" pid="11" name="IR_Witness">
    <vt:lpwstr/>
  </property>
  <property fmtid="{D5CDD505-2E9C-101B-9397-08002B2CF9AE}" pid="12" name="display_urn:schemas-microsoft-com:office:office#IR_Writer">
    <vt:lpwstr>POWER, LISA</vt:lpwstr>
  </property>
  <property fmtid="{D5CDD505-2E9C-101B-9397-08002B2CF9AE}" pid="13" name="IR_Writer">
    <vt:lpwstr>343</vt:lpwstr>
  </property>
  <property fmtid="{D5CDD505-2E9C-101B-9397-08002B2CF9AE}" pid="14" name="IR_Context">
    <vt:lpwstr>20</vt:lpwstr>
  </property>
  <property fmtid="{D5CDD505-2E9C-101B-9397-08002B2CF9AE}" pid="15" name="IR_Subtopic">
    <vt:lpwstr>215</vt:lpwstr>
  </property>
  <property fmtid="{D5CDD505-2E9C-101B-9397-08002B2CF9AE}" pid="16" name="IR_Requester">
    <vt:lpwstr>9</vt:lpwstr>
  </property>
  <property fmtid="{D5CDD505-2E9C-101B-9397-08002B2CF9AE}" pid="17" name="IR_Review_Sort">
    <vt:lpwstr>CA IR 026-050</vt:lpwstr>
  </property>
  <property fmtid="{D5CDD505-2E9C-101B-9397-08002B2CF9AE}" pid="18" name="ContentType">
    <vt:lpwstr>Document</vt:lpwstr>
  </property>
  <property fmtid="{D5CDD505-2E9C-101B-9397-08002B2CF9AE}" pid="19" name="IR_Description_Field">
    <vt:lpwstr/>
  </property>
  <property fmtid="{D5CDD505-2E9C-101B-9397-08002B2CF9AE}" pid="20" name="ContentTypeId">
    <vt:lpwstr>0x01010057B90F1B5607C74BB9C830BB25E50669</vt:lpwstr>
  </property>
</Properties>
</file>